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omments9.xml" ContentType="application/vnd.openxmlformats-officedocument.spreadsheetml.comments+xml"/>
  <Override PartName="/xl/drawings/drawing7.xml" ContentType="application/vnd.openxmlformats-officedocument.drawing+xml"/>
  <Override PartName="/xl/comments10.xml" ContentType="application/vnd.openxmlformats-officedocument.spreadsheetml.comments+xml"/>
  <Override PartName="/xl/drawings/drawing8.xml" ContentType="application/vnd.openxmlformats-officedocument.drawing+xml"/>
  <Override PartName="/xl/comments11.xml" ContentType="application/vnd.openxmlformats-officedocument.spreadsheetml.comments+xml"/>
  <Override PartName="/xl/drawings/drawing9.xml" ContentType="application/vnd.openxmlformats-officedocument.drawing+xml"/>
  <Override PartName="/xl/comments12.xml" ContentType="application/vnd.openxmlformats-officedocument.spreadsheetml.comments+xml"/>
  <Override PartName="/xl/drawings/drawing10.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drawings/drawing11.xml" ContentType="application/vnd.openxmlformats-officedocument.drawing+xml"/>
  <Override PartName="/xl/comments21.xml" ContentType="application/vnd.openxmlformats-officedocument.spreadsheetml.comments+xml"/>
  <Override PartName="/xl/drawings/drawing12.xml" ContentType="application/vnd.openxmlformats-officedocument.drawing+xml"/>
  <Override PartName="/xl/comments22.xml" ContentType="application/vnd.openxmlformats-officedocument.spreadsheetml.comments+xml"/>
  <Override PartName="/xl/drawings/drawing13.xml" ContentType="application/vnd.openxmlformats-officedocument.drawing+xml"/>
  <Override PartName="/xl/comments23.xml" ContentType="application/vnd.openxmlformats-officedocument.spreadsheetml.comments+xml"/>
  <Override PartName="/xl/drawings/drawing14.xml" ContentType="application/vnd.openxmlformats-officedocument.drawing+xml"/>
  <Override PartName="/xl/comments24.xml" ContentType="application/vnd.openxmlformats-officedocument.spreadsheetml.comments+xml"/>
  <Override PartName="/xl/drawings/drawing15.xml" ContentType="application/vnd.openxmlformats-officedocument.drawing+xml"/>
  <Override PartName="/xl/comments25.xml" ContentType="application/vnd.openxmlformats-officedocument.spreadsheetml.comments+xml"/>
  <Override PartName="/xl/drawings/drawing16.xml" ContentType="application/vnd.openxmlformats-officedocument.drawing+xml"/>
  <Override PartName="/xl/comments26.xml" ContentType="application/vnd.openxmlformats-officedocument.spreadsheetml.comments+xml"/>
  <Override PartName="/xl/drawings/drawing17.xml" ContentType="application/vnd.openxmlformats-officedocument.drawing+xml"/>
  <Override PartName="/xl/comments27.xml" ContentType="application/vnd.openxmlformats-officedocument.spreadsheetml.comments+xml"/>
  <Override PartName="/xl/drawings/drawing18.xml" ContentType="application/vnd.openxmlformats-officedocument.drawing+xml"/>
  <Override PartName="/xl/comments28.xml" ContentType="application/vnd.openxmlformats-officedocument.spreadsheetml.comments+xml"/>
  <Override PartName="/xl/comments2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dplowman\Desktop\"/>
    </mc:Choice>
  </mc:AlternateContent>
  <bookViews>
    <workbookView xWindow="0" yWindow="0" windowWidth="19200" windowHeight="12180" firstSheet="1" activeTab="3"/>
  </bookViews>
  <sheets>
    <sheet name="Overview &amp; Explanation" sheetId="30" r:id="rId1"/>
    <sheet name="BS Analysis Adjustments" sheetId="12" r:id="rId2"/>
    <sheet name="IS Analysis Adjustments" sheetId="17" r:id="rId3"/>
    <sheet name="Common-size FS" sheetId="10" r:id="rId4"/>
    <sheet name="Financial Ratios" sheetId="1" r:id="rId5"/>
    <sheet name="Industry Firm Ratios" sheetId="22" r:id="rId6"/>
    <sheet name="Oper Lease Adjust 1" sheetId="23" r:id="rId7"/>
    <sheet name="Oper Lease Adjust 2" sheetId="24" r:id="rId8"/>
    <sheet name="Oper Lease Adjust 3" sheetId="25" r:id="rId9"/>
    <sheet name="Oper Lease Adjust 4" sheetId="26" r:id="rId10"/>
    <sheet name="Oper Lease Adjust 5" sheetId="27" r:id="rId11"/>
    <sheet name="Oper Lease Adjust 6" sheetId="28" r:id="rId12"/>
    <sheet name="Key Competitor Oper Lease Adj" sheetId="29" r:id="rId13"/>
    <sheet name="Pension Cost Analysis Adjust" sheetId="31" r:id="rId14"/>
    <sheet name="Invent Cost-Flow Analysis Adj" sheetId="32" r:id="rId15"/>
    <sheet name="Noncancel Commit Analysis Adj" sheetId="37" r:id="rId16"/>
    <sheet name="Guar Uncons Debt Analysis Adj" sheetId="39" r:id="rId17"/>
    <sheet name="Capitalized Int Analysis Adj" sheetId="38" r:id="rId18"/>
    <sheet name="Impair, Restruct Analysis Adj" sheetId="40" r:id="rId19"/>
    <sheet name="Debt Restruct Analysis Adj " sheetId="36" r:id="rId20"/>
    <sheet name="Sales Invest, PP&amp;E Analysis Adj" sheetId="41" r:id="rId21"/>
    <sheet name="OCF &amp; FCF Analyses" sheetId="18" r:id="rId22"/>
    <sheet name="RNOA &amp; ROCE Analysis" sheetId="5" r:id="rId23"/>
    <sheet name="Projected FS" sheetId="35" r:id="rId24"/>
    <sheet name="Sales Projection" sheetId="34" r:id="rId25"/>
    <sheet name="RI Model" sheetId="19" r:id="rId26"/>
    <sheet name="Estimate L-R Avg Tax Rate" sheetId="33" r:id="rId27"/>
    <sheet name="P-E &amp; P-B Comparisons" sheetId="21" r:id="rId28"/>
    <sheet name="Z-Score" sheetId="20" r:id="rId29"/>
  </sheets>
  <definedNames>
    <definedName name="_xlnm.Print_Area" localSheetId="1">'BS Analysis Adjustments'!$B$1:$BD$66</definedName>
    <definedName name="_xlnm.Print_Area" localSheetId="3">'Common-size FS'!$A$1:$N$157</definedName>
    <definedName name="_xlnm.Print_Area" localSheetId="26">'Estimate L-R Avg Tax Rate'!$A$4:$I$61</definedName>
    <definedName name="_xlnm.Print_Area" localSheetId="4">'Financial Ratios'!$A$1:$J$143</definedName>
    <definedName name="_xlnm.Print_Area" localSheetId="5">'Industry Firm Ratios'!$A$1:$Y$15</definedName>
    <definedName name="_xlnm.Print_Area" localSheetId="2">'IS Analysis Adjustments'!$B$1:$BD$52</definedName>
    <definedName name="_xlnm.Print_Area" localSheetId="12">'Key Competitor Oper Lease Adj'!$A$1:$K$99</definedName>
    <definedName name="_xlnm.Print_Area" localSheetId="21">'OCF &amp; FCF Analyses'!$A$1:$I$63</definedName>
    <definedName name="_xlnm.Print_Area" localSheetId="6">'Oper Lease Adjust 1'!$A$1:$K$104</definedName>
    <definedName name="_xlnm.Print_Area" localSheetId="7">'Oper Lease Adjust 2'!$A$1:$K$104</definedName>
    <definedName name="_xlnm.Print_Area" localSheetId="8">'Oper Lease Adjust 3'!$A$1:$K$104</definedName>
    <definedName name="_xlnm.Print_Area" localSheetId="9">'Oper Lease Adjust 4'!$A$1:$K$104</definedName>
    <definedName name="_xlnm.Print_Area" localSheetId="10">'Oper Lease Adjust 5'!$A$1:$K$104</definedName>
    <definedName name="_xlnm.Print_Area" localSheetId="11">'Oper Lease Adjust 6'!$A$1:$K$99</definedName>
    <definedName name="_xlnm.Print_Area" localSheetId="27">'P-E &amp; P-B Comparisons'!$A$1:$N$28</definedName>
    <definedName name="_xlnm.Print_Area" localSheetId="23">'Projected FS'!$A$1:$G$168</definedName>
    <definedName name="_xlnm.Print_Area" localSheetId="25">'RI Model'!$A$11:$M$53</definedName>
    <definedName name="_xlnm.Print_Area" localSheetId="22">'RNOA &amp; ROCE Analysis'!$A$1:$G$205</definedName>
    <definedName name="_xlnm.Print_Area" localSheetId="28">'Z-Score'!$A$13:$E$79</definedName>
    <definedName name="_xlnm.Print_Titles" localSheetId="1">'BS Analysis Adjustments'!$A:$A,'BS Analysis Adjustments'!$1:$3</definedName>
    <definedName name="_xlnm.Print_Titles" localSheetId="4">'Financial Ratios'!$7:$10</definedName>
    <definedName name="_xlnm.Print_Titles" localSheetId="2">'IS Analysis Adjustments'!$A:$A</definedName>
  </definedNames>
  <calcPr calcId="152511"/>
  <extLst>
    <ext xmlns:mx="http://schemas.microsoft.com/office/mac/excel/2008/main" uri="http://schemas.microsoft.com/office/mac/excel/2008/main">
      <mx:ArchID Flags="2"/>
    </ext>
  </extLst>
</workbook>
</file>

<file path=xl/calcChain.xml><?xml version="1.0" encoding="utf-8"?>
<calcChain xmlns="http://schemas.openxmlformats.org/spreadsheetml/2006/main">
  <c r="H11" i="33" l="1"/>
  <c r="H14" i="33"/>
  <c r="A17" i="10"/>
  <c r="C32" i="28"/>
  <c r="J11" i="28"/>
  <c r="E32" i="28"/>
  <c r="C33" i="28"/>
  <c r="F33" i="28" s="1"/>
  <c r="E33" i="28"/>
  <c r="C34" i="28"/>
  <c r="E34" i="28"/>
  <c r="F34" i="28" s="1"/>
  <c r="C35" i="28"/>
  <c r="E35" i="28"/>
  <c r="F35" i="28"/>
  <c r="C36" i="28"/>
  <c r="E36" i="28"/>
  <c r="F36" i="28" s="1"/>
  <c r="A37" i="28"/>
  <c r="F22" i="28"/>
  <c r="F23" i="28"/>
  <c r="E37" i="28"/>
  <c r="A38" i="28"/>
  <c r="E38" i="28"/>
  <c r="A39" i="28"/>
  <c r="C39" i="28" s="1"/>
  <c r="E39" i="28"/>
  <c r="C20" i="28"/>
  <c r="AY32" i="12"/>
  <c r="BD32" i="12" s="1"/>
  <c r="AY33" i="12"/>
  <c r="BD33" i="12" s="1"/>
  <c r="G42" i="10" s="1"/>
  <c r="AY36" i="12"/>
  <c r="BD36" i="12"/>
  <c r="F96" i="35" s="1"/>
  <c r="AY38" i="12"/>
  <c r="BD38" i="12"/>
  <c r="AF10" i="12"/>
  <c r="AF14" i="12" s="1"/>
  <c r="U29" i="12"/>
  <c r="BA29" i="12"/>
  <c r="AE29" i="12"/>
  <c r="BB29" i="12"/>
  <c r="AO29" i="12"/>
  <c r="BC29" i="12"/>
  <c r="AY29" i="12"/>
  <c r="BD29" i="12"/>
  <c r="K29" i="12"/>
  <c r="AZ29" i="12"/>
  <c r="K8" i="12"/>
  <c r="K9" i="12"/>
  <c r="AZ9" i="12" s="1"/>
  <c r="U8" i="12"/>
  <c r="U9" i="12"/>
  <c r="BA9" i="12" s="1"/>
  <c r="AE8" i="12"/>
  <c r="AE10" i="12" s="1"/>
  <c r="AE9" i="12"/>
  <c r="AO8" i="12"/>
  <c r="AO9" i="12"/>
  <c r="AY8" i="12"/>
  <c r="AY9" i="12"/>
  <c r="BD9" i="12" s="1"/>
  <c r="G15" i="10" s="1"/>
  <c r="U36" i="12"/>
  <c r="U38" i="12"/>
  <c r="BA38" i="12" s="1"/>
  <c r="D47" i="10" s="1"/>
  <c r="U39" i="12"/>
  <c r="U40" i="12"/>
  <c r="BA40" i="12" s="1"/>
  <c r="D49" i="10" s="1"/>
  <c r="AE36" i="12"/>
  <c r="AE38" i="12"/>
  <c r="AE39" i="12"/>
  <c r="BB39" i="12" s="1"/>
  <c r="AE40" i="12"/>
  <c r="BB40" i="12" s="1"/>
  <c r="E49" i="10" s="1"/>
  <c r="AO36" i="12"/>
  <c r="BC36" i="12" s="1"/>
  <c r="AO38" i="12"/>
  <c r="AO39" i="12"/>
  <c r="BC39" i="12" s="1"/>
  <c r="AO40" i="12"/>
  <c r="BC40" i="12"/>
  <c r="AY39" i="12"/>
  <c r="AY40" i="12"/>
  <c r="BD40" i="12" s="1"/>
  <c r="K36" i="12"/>
  <c r="AZ36" i="12"/>
  <c r="K38" i="12"/>
  <c r="AZ38" i="12"/>
  <c r="K39" i="12"/>
  <c r="K40" i="12"/>
  <c r="AW10" i="12"/>
  <c r="AW14" i="12"/>
  <c r="AW18" i="12"/>
  <c r="AW23" i="12"/>
  <c r="AW35" i="12"/>
  <c r="AW41" i="12"/>
  <c r="AW53" i="12"/>
  <c r="AM10" i="12"/>
  <c r="AM14" i="12" s="1"/>
  <c r="AM18" i="12"/>
  <c r="AM35" i="12"/>
  <c r="AM41" i="12"/>
  <c r="AM53" i="12"/>
  <c r="AC10" i="12"/>
  <c r="AC14" i="12"/>
  <c r="AC18" i="12"/>
  <c r="AC23" i="12"/>
  <c r="AC35" i="12"/>
  <c r="AC41" i="12"/>
  <c r="AC53" i="12"/>
  <c r="S10" i="12"/>
  <c r="S14" i="12" s="1"/>
  <c r="S18" i="12"/>
  <c r="S23" i="12" s="1"/>
  <c r="S56" i="12" s="1"/>
  <c r="S35" i="12"/>
  <c r="S41" i="12"/>
  <c r="S42" i="12" s="1"/>
  <c r="S54" i="12" s="1"/>
  <c r="S53" i="12"/>
  <c r="I10" i="12"/>
  <c r="I14" i="12" s="1"/>
  <c r="I23" i="12" s="1"/>
  <c r="I56" i="12" s="1"/>
  <c r="I18" i="12"/>
  <c r="I35" i="12"/>
  <c r="I41" i="12"/>
  <c r="I53" i="12"/>
  <c r="K27" i="12"/>
  <c r="AZ27" i="12" s="1"/>
  <c r="K28" i="12"/>
  <c r="U27" i="12"/>
  <c r="BA27" i="12" s="1"/>
  <c r="U28" i="12"/>
  <c r="AE27" i="12"/>
  <c r="BB27" i="12" s="1"/>
  <c r="AE28" i="12"/>
  <c r="AO27" i="12"/>
  <c r="BC27" i="12" s="1"/>
  <c r="AO28" i="12"/>
  <c r="AY27" i="12"/>
  <c r="BD27" i="12" s="1"/>
  <c r="AY28" i="12"/>
  <c r="L1" i="12"/>
  <c r="V1" i="12" s="1"/>
  <c r="AF1" i="12" s="1"/>
  <c r="AZ3" i="12"/>
  <c r="AY11" i="12"/>
  <c r="BD11" i="12" s="1"/>
  <c r="AX53" i="12"/>
  <c r="AV53" i="12"/>
  <c r="AU53" i="12"/>
  <c r="AT53" i="12"/>
  <c r="AS53" i="12"/>
  <c r="AR53" i="12"/>
  <c r="AQ53" i="12"/>
  <c r="AP53" i="12"/>
  <c r="AY52" i="12"/>
  <c r="AY51" i="12"/>
  <c r="BD51" i="12"/>
  <c r="AY50" i="12"/>
  <c r="AY49" i="12"/>
  <c r="AY48" i="12"/>
  <c r="BD48" i="12" s="1"/>
  <c r="AY47" i="12"/>
  <c r="BD47" i="12"/>
  <c r="AY46" i="12"/>
  <c r="BD46" i="12"/>
  <c r="AY45" i="12"/>
  <c r="AY44" i="12"/>
  <c r="BD44" i="12" s="1"/>
  <c r="AX35" i="12"/>
  <c r="AX42" i="12" s="1"/>
  <c r="AX41" i="12"/>
  <c r="AV41" i="12"/>
  <c r="AU41" i="12"/>
  <c r="AU35" i="12"/>
  <c r="AT41" i="12"/>
  <c r="AS41" i="12"/>
  <c r="AS42" i="12" s="1"/>
  <c r="AS54" i="12" s="1"/>
  <c r="AR41" i="12"/>
  <c r="AP41" i="12"/>
  <c r="AP42" i="12" s="1"/>
  <c r="AP54" i="12" s="1"/>
  <c r="BD39" i="12"/>
  <c r="AV35" i="12"/>
  <c r="AV42" i="12" s="1"/>
  <c r="AV54" i="12" s="1"/>
  <c r="AT35" i="12"/>
  <c r="AS35" i="12"/>
  <c r="AR35" i="12"/>
  <c r="AR42" i="12" s="1"/>
  <c r="AP35" i="12"/>
  <c r="AY34" i="12"/>
  <c r="BD34" i="12" s="1"/>
  <c r="AY30" i="12"/>
  <c r="BD30" i="12" s="1"/>
  <c r="G39" i="10" s="1"/>
  <c r="AY22" i="12"/>
  <c r="BD22" i="12" s="1"/>
  <c r="AY21" i="12"/>
  <c r="BD21" i="12" s="1"/>
  <c r="G27" i="10" s="1"/>
  <c r="AY20" i="12"/>
  <c r="BD20" i="12" s="1"/>
  <c r="AY19" i="12"/>
  <c r="BD19" i="12" s="1"/>
  <c r="AX18" i="12"/>
  <c r="AV18" i="12"/>
  <c r="AU18" i="12"/>
  <c r="AT18" i="12"/>
  <c r="AS18" i="12"/>
  <c r="AR18" i="12"/>
  <c r="AP18" i="12"/>
  <c r="AY17" i="12"/>
  <c r="AY13" i="12"/>
  <c r="BD13" i="12" s="1"/>
  <c r="AY12" i="12"/>
  <c r="BD12" i="12" s="1"/>
  <c r="G18" i="10" s="1"/>
  <c r="AX10" i="12"/>
  <c r="AX14" i="12" s="1"/>
  <c r="AV10" i="12"/>
  <c r="AV14" i="12" s="1"/>
  <c r="AV23" i="12" s="1"/>
  <c r="AU10" i="12"/>
  <c r="AU14" i="12"/>
  <c r="AU23" i="12" s="1"/>
  <c r="AT10" i="12"/>
  <c r="AT14" i="12" s="1"/>
  <c r="AT23" i="12" s="1"/>
  <c r="AS10" i="12"/>
  <c r="AS14" i="12"/>
  <c r="AR10" i="12"/>
  <c r="AR14" i="12"/>
  <c r="AQ10" i="12"/>
  <c r="AQ14" i="12"/>
  <c r="AP10" i="12"/>
  <c r="AP14" i="12"/>
  <c r="AY7" i="12"/>
  <c r="BD7" i="12"/>
  <c r="AY6" i="12"/>
  <c r="AN53" i="12"/>
  <c r="AL53" i="12"/>
  <c r="AK53" i="12"/>
  <c r="AJ53" i="12"/>
  <c r="AI53" i="12"/>
  <c r="AH53" i="12"/>
  <c r="AG53" i="12"/>
  <c r="AF53" i="12"/>
  <c r="AO52" i="12"/>
  <c r="BC52" i="12" s="1"/>
  <c r="AO51" i="12"/>
  <c r="AO53" i="12" s="1"/>
  <c r="BC53" i="12" s="1"/>
  <c r="AO50" i="12"/>
  <c r="BC50" i="12"/>
  <c r="F60" i="10" s="1"/>
  <c r="AO49" i="12"/>
  <c r="BC49" i="12"/>
  <c r="F59" i="10" s="1"/>
  <c r="AO48" i="12"/>
  <c r="BC48" i="12"/>
  <c r="F58" i="10" s="1"/>
  <c r="AO47" i="12"/>
  <c r="BC47" i="12"/>
  <c r="F57" i="10" s="1"/>
  <c r="AO46" i="12"/>
  <c r="BC46" i="12"/>
  <c r="F56" i="10" s="1"/>
  <c r="AO45" i="12"/>
  <c r="BC45" i="12"/>
  <c r="AO44" i="12"/>
  <c r="AN41" i="12"/>
  <c r="AL41" i="12"/>
  <c r="AK41" i="12"/>
  <c r="AK42" i="12" s="1"/>
  <c r="AK54" i="12" s="1"/>
  <c r="AJ41" i="12"/>
  <c r="AI41" i="12"/>
  <c r="AH41" i="12"/>
  <c r="AH35" i="12"/>
  <c r="AH42" i="12" s="1"/>
  <c r="AH54" i="12" s="1"/>
  <c r="AF41" i="12"/>
  <c r="AN35" i="12"/>
  <c r="AL35" i="12"/>
  <c r="AK35" i="12"/>
  <c r="AJ35" i="12"/>
  <c r="AI35" i="12"/>
  <c r="AF35" i="12"/>
  <c r="AF42" i="12"/>
  <c r="AF54" i="12" s="1"/>
  <c r="AO34" i="12"/>
  <c r="BC34" i="12" s="1"/>
  <c r="F43" i="10" s="1"/>
  <c r="AO33" i="12"/>
  <c r="BC33" i="12" s="1"/>
  <c r="AO32" i="12"/>
  <c r="BC32" i="12" s="1"/>
  <c r="F41" i="10" s="1"/>
  <c r="AO30" i="12"/>
  <c r="BC30" i="12" s="1"/>
  <c r="AO22" i="12"/>
  <c r="BC22" i="12" s="1"/>
  <c r="F28" i="10" s="1"/>
  <c r="AO21" i="12"/>
  <c r="BC21" i="12"/>
  <c r="F27" i="10" s="1"/>
  <c r="AO20" i="12"/>
  <c r="BC20" i="12"/>
  <c r="F26" i="10" s="1"/>
  <c r="AO19" i="12"/>
  <c r="AN18" i="12"/>
  <c r="AL18" i="12"/>
  <c r="AK18" i="12"/>
  <c r="AJ18" i="12"/>
  <c r="AI18" i="12"/>
  <c r="AH18" i="12"/>
  <c r="AF18" i="12"/>
  <c r="AF23" i="12" s="1"/>
  <c r="AO17" i="12"/>
  <c r="BC17" i="12"/>
  <c r="AO13" i="12"/>
  <c r="BC13" i="12"/>
  <c r="F19" i="10" s="1"/>
  <c r="AO12" i="12"/>
  <c r="BC12" i="12"/>
  <c r="AO11" i="12"/>
  <c r="BC11" i="12"/>
  <c r="F17" i="10" s="1"/>
  <c r="AN10" i="12"/>
  <c r="AN14" i="12"/>
  <c r="AN23" i="12" s="1"/>
  <c r="AL10" i="12"/>
  <c r="AL14" i="12" s="1"/>
  <c r="AL23" i="12" s="1"/>
  <c r="AK10" i="12"/>
  <c r="AK14" i="12" s="1"/>
  <c r="AK23" i="12" s="1"/>
  <c r="AK56" i="12" s="1"/>
  <c r="AJ10" i="12"/>
  <c r="AJ14" i="12" s="1"/>
  <c r="AJ23" i="12"/>
  <c r="AJ56" i="12" s="1"/>
  <c r="AI10" i="12"/>
  <c r="AI14" i="12"/>
  <c r="AI23" i="12" s="1"/>
  <c r="AH10" i="12"/>
  <c r="AH14" i="12"/>
  <c r="AH23" i="12" s="1"/>
  <c r="AG10" i="12"/>
  <c r="AG14" i="12"/>
  <c r="AO7" i="12"/>
  <c r="BC7" i="12" s="1"/>
  <c r="AO6" i="12"/>
  <c r="AD53" i="12"/>
  <c r="AB53" i="12"/>
  <c r="AA53" i="12"/>
  <c r="Z53" i="12"/>
  <c r="Y53" i="12"/>
  <c r="X53" i="12"/>
  <c r="W53" i="12"/>
  <c r="V53" i="12"/>
  <c r="AE52" i="12"/>
  <c r="BB52" i="12"/>
  <c r="AE51" i="12"/>
  <c r="BB51" i="12"/>
  <c r="AE50" i="12"/>
  <c r="BB50" i="12"/>
  <c r="AE49" i="12"/>
  <c r="BB49" i="12"/>
  <c r="AE48" i="12"/>
  <c r="BB48" i="12"/>
  <c r="AE47" i="12"/>
  <c r="AE46" i="12"/>
  <c r="BB46" i="12" s="1"/>
  <c r="AE45" i="12"/>
  <c r="BB45" i="12" s="1"/>
  <c r="AE44" i="12"/>
  <c r="AD41" i="12"/>
  <c r="AB41" i="12"/>
  <c r="AA41" i="12"/>
  <c r="Z41" i="12"/>
  <c r="Y41" i="12"/>
  <c r="X41" i="12"/>
  <c r="V41" i="12"/>
  <c r="V42" i="12" s="1"/>
  <c r="AD35" i="12"/>
  <c r="AD10" i="12"/>
  <c r="AD14" i="12" s="1"/>
  <c r="AD18" i="12"/>
  <c r="AB35" i="12"/>
  <c r="AA35" i="12"/>
  <c r="Z35" i="12"/>
  <c r="Z42" i="12"/>
  <c r="Y35" i="12"/>
  <c r="X35" i="12"/>
  <c r="V35" i="12"/>
  <c r="V10" i="12"/>
  <c r="V14" i="12"/>
  <c r="V18" i="12"/>
  <c r="V23" i="12"/>
  <c r="AE34" i="12"/>
  <c r="BB34" i="12"/>
  <c r="AE33" i="12"/>
  <c r="BB33" i="12"/>
  <c r="AE32" i="12"/>
  <c r="BB32" i="12"/>
  <c r="AE30" i="12"/>
  <c r="BB30" i="12"/>
  <c r="AE22" i="12"/>
  <c r="BB22" i="12"/>
  <c r="AE21" i="12"/>
  <c r="BB21" i="12"/>
  <c r="AE20" i="12"/>
  <c r="BB20" i="12"/>
  <c r="AE19" i="12"/>
  <c r="BB19" i="12"/>
  <c r="AB18" i="12"/>
  <c r="AA18" i="12"/>
  <c r="Z18" i="12"/>
  <c r="Y18" i="12"/>
  <c r="X18" i="12"/>
  <c r="AE17" i="12"/>
  <c r="W10" i="12"/>
  <c r="W14" i="12"/>
  <c r="AE13" i="12"/>
  <c r="BB13" i="12"/>
  <c r="AE12" i="12"/>
  <c r="AE11" i="12"/>
  <c r="BB11" i="12" s="1"/>
  <c r="AB10" i="12"/>
  <c r="AB14" i="12" s="1"/>
  <c r="AB23" i="12" s="1"/>
  <c r="AA10" i="12"/>
  <c r="AA14" i="12" s="1"/>
  <c r="Z10" i="12"/>
  <c r="Z14" i="12" s="1"/>
  <c r="Z23" i="12" s="1"/>
  <c r="Z56" i="12" s="1"/>
  <c r="Y10" i="12"/>
  <c r="Y14" i="12" s="1"/>
  <c r="Y23" i="12"/>
  <c r="X10" i="12"/>
  <c r="X14" i="12"/>
  <c r="X23" i="12" s="1"/>
  <c r="X56" i="12" s="1"/>
  <c r="AE7" i="12"/>
  <c r="BB7" i="12"/>
  <c r="AE6" i="12"/>
  <c r="BB6" i="12"/>
  <c r="E12" i="10" s="1"/>
  <c r="T53" i="12"/>
  <c r="R53" i="12"/>
  <c r="Q53" i="12"/>
  <c r="P53" i="12"/>
  <c r="O53" i="12"/>
  <c r="N53" i="12"/>
  <c r="M53" i="12"/>
  <c r="L53" i="12"/>
  <c r="U52" i="12"/>
  <c r="BA52" i="12"/>
  <c r="U51" i="12"/>
  <c r="BA51" i="12"/>
  <c r="U50" i="12"/>
  <c r="BA50" i="12"/>
  <c r="D60" i="10" s="1"/>
  <c r="U49" i="12"/>
  <c r="U48" i="12"/>
  <c r="BA48" i="12" s="1"/>
  <c r="D58" i="10" s="1"/>
  <c r="U47" i="12"/>
  <c r="BA47" i="12" s="1"/>
  <c r="U46" i="12"/>
  <c r="BA46" i="12" s="1"/>
  <c r="D56" i="10" s="1"/>
  <c r="U45" i="12"/>
  <c r="BA45" i="12" s="1"/>
  <c r="U44" i="12"/>
  <c r="T41" i="12"/>
  <c r="R41" i="12"/>
  <c r="Q41" i="12"/>
  <c r="P41" i="12"/>
  <c r="O41" i="12"/>
  <c r="O35" i="12"/>
  <c r="N41" i="12"/>
  <c r="L41" i="12"/>
  <c r="BA39" i="12"/>
  <c r="T35" i="12"/>
  <c r="R35" i="12"/>
  <c r="R42" i="12" s="1"/>
  <c r="R54" i="12"/>
  <c r="Q35" i="12"/>
  <c r="Q10" i="12"/>
  <c r="Q14" i="12" s="1"/>
  <c r="Q23" i="12" s="1"/>
  <c r="Q18" i="12"/>
  <c r="P35" i="12"/>
  <c r="P42" i="12"/>
  <c r="N35" i="12"/>
  <c r="N42" i="12" s="1"/>
  <c r="L35" i="12"/>
  <c r="U34" i="12"/>
  <c r="BA34" i="12" s="1"/>
  <c r="D43" i="10" s="1"/>
  <c r="U33" i="12"/>
  <c r="BA33" i="12" s="1"/>
  <c r="U32" i="12"/>
  <c r="BA32" i="12" s="1"/>
  <c r="D41" i="10" s="1"/>
  <c r="U30" i="12"/>
  <c r="BA30" i="12"/>
  <c r="D39" i="10" s="1"/>
  <c r="U22" i="12"/>
  <c r="BA22" i="12"/>
  <c r="D28" i="10" s="1"/>
  <c r="U21" i="12"/>
  <c r="BA21" i="12"/>
  <c r="D27" i="10" s="1"/>
  <c r="U20" i="12"/>
  <c r="BA20" i="12"/>
  <c r="U19" i="12"/>
  <c r="BA19" i="12"/>
  <c r="D25" i="10" s="1"/>
  <c r="T18" i="12"/>
  <c r="R18" i="12"/>
  <c r="P18" i="12"/>
  <c r="O18" i="12"/>
  <c r="O23" i="12" s="1"/>
  <c r="N18" i="12"/>
  <c r="L18" i="12"/>
  <c r="L23" i="12" s="1"/>
  <c r="U17" i="12"/>
  <c r="BA17" i="12"/>
  <c r="D23" i="10" s="1"/>
  <c r="R10" i="12"/>
  <c r="R14" i="12"/>
  <c r="R23" i="12" s="1"/>
  <c r="N10" i="12"/>
  <c r="N14" i="12"/>
  <c r="N23" i="12" s="1"/>
  <c r="N56" i="12" s="1"/>
  <c r="U13" i="12"/>
  <c r="U12" i="12"/>
  <c r="BA12" i="12"/>
  <c r="U11" i="12"/>
  <c r="BA11" i="12"/>
  <c r="T10" i="12"/>
  <c r="T14" i="12"/>
  <c r="P10" i="12"/>
  <c r="P14" i="12"/>
  <c r="P23" i="12" s="1"/>
  <c r="O10" i="12"/>
  <c r="O14" i="12"/>
  <c r="M10" i="12"/>
  <c r="M14" i="12"/>
  <c r="L10" i="12"/>
  <c r="L14" i="12"/>
  <c r="U7" i="12"/>
  <c r="U6" i="12"/>
  <c r="C53" i="12"/>
  <c r="D53" i="12"/>
  <c r="D35" i="12"/>
  <c r="D41" i="12"/>
  <c r="D42" i="12" s="1"/>
  <c r="E53" i="12"/>
  <c r="F53" i="12"/>
  <c r="G53" i="12"/>
  <c r="H53" i="12"/>
  <c r="J53" i="12"/>
  <c r="G35" i="12"/>
  <c r="G41" i="12"/>
  <c r="G42" i="12" s="1"/>
  <c r="G54" i="12" s="1"/>
  <c r="E41" i="12"/>
  <c r="F41" i="12"/>
  <c r="F42" i="12" s="1"/>
  <c r="F54" i="12" s="1"/>
  <c r="F35" i="12"/>
  <c r="H41" i="12"/>
  <c r="H42" i="12" s="1"/>
  <c r="H54" i="12" s="1"/>
  <c r="H56" i="12" s="1"/>
  <c r="H35" i="12"/>
  <c r="J41" i="12"/>
  <c r="J35" i="12"/>
  <c r="E35" i="12"/>
  <c r="E42" i="12" s="1"/>
  <c r="E54" i="12" s="1"/>
  <c r="D18" i="12"/>
  <c r="E18" i="12"/>
  <c r="E23" i="12" s="1"/>
  <c r="F18" i="12"/>
  <c r="G18" i="12"/>
  <c r="H18" i="12"/>
  <c r="J18" i="12"/>
  <c r="B18" i="12"/>
  <c r="F10" i="12"/>
  <c r="F14" i="12" s="1"/>
  <c r="F23" i="12" s="1"/>
  <c r="F56" i="12" s="1"/>
  <c r="C10" i="12"/>
  <c r="C14" i="12" s="1"/>
  <c r="D10" i="12"/>
  <c r="D14" i="12" s="1"/>
  <c r="D23" i="12" s="1"/>
  <c r="E10" i="12"/>
  <c r="E14" i="12" s="1"/>
  <c r="G10" i="12"/>
  <c r="G14" i="12" s="1"/>
  <c r="G23" i="12" s="1"/>
  <c r="G56" i="12" s="1"/>
  <c r="H10" i="12"/>
  <c r="H14" i="12" s="1"/>
  <c r="H23" i="12" s="1"/>
  <c r="J10" i="12"/>
  <c r="J14" i="12" s="1"/>
  <c r="J23" i="12" s="1"/>
  <c r="B10" i="12"/>
  <c r="B14" i="12" s="1"/>
  <c r="B23" i="12" s="1"/>
  <c r="B35" i="12"/>
  <c r="B42" i="12" s="1"/>
  <c r="B54" i="12" s="1"/>
  <c r="B56" i="12" s="1"/>
  <c r="B41" i="12"/>
  <c r="B53" i="12"/>
  <c r="BA49" i="12"/>
  <c r="BC51" i="12"/>
  <c r="F61" i="10" s="1"/>
  <c r="K49" i="12"/>
  <c r="AZ49" i="12"/>
  <c r="K51" i="12"/>
  <c r="AZ51" i="12"/>
  <c r="C61" i="10" s="1"/>
  <c r="AZ39" i="12"/>
  <c r="K32" i="12"/>
  <c r="AZ32" i="12"/>
  <c r="K33" i="12"/>
  <c r="AZ33" i="12"/>
  <c r="BD52" i="12"/>
  <c r="K52" i="12"/>
  <c r="AZ52" i="12"/>
  <c r="C62" i="10" s="1"/>
  <c r="K50" i="12"/>
  <c r="AZ50" i="12"/>
  <c r="K48" i="12"/>
  <c r="AZ48" i="12" s="1"/>
  <c r="K46" i="12"/>
  <c r="AZ46" i="12" s="1"/>
  <c r="C56" i="10" s="1"/>
  <c r="BD45" i="12"/>
  <c r="K45" i="12"/>
  <c r="K44" i="12"/>
  <c r="BD43" i="12"/>
  <c r="BC43" i="12"/>
  <c r="BB43" i="12"/>
  <c r="BA43" i="12"/>
  <c r="AZ43" i="12"/>
  <c r="AZ40" i="12"/>
  <c r="BC38" i="12"/>
  <c r="K34" i="12"/>
  <c r="AZ34" i="12" s="1"/>
  <c r="K30" i="12"/>
  <c r="AZ30" i="12" s="1"/>
  <c r="K22" i="12"/>
  <c r="AZ22" i="12"/>
  <c r="K21" i="12"/>
  <c r="AZ21" i="12"/>
  <c r="K20" i="12"/>
  <c r="AZ20" i="12"/>
  <c r="BC19" i="12"/>
  <c r="K19" i="12"/>
  <c r="AZ19" i="12" s="1"/>
  <c r="BB17" i="12"/>
  <c r="BD17" i="12"/>
  <c r="K17" i="12"/>
  <c r="AZ17" i="12" s="1"/>
  <c r="BA13" i="12"/>
  <c r="K13" i="12"/>
  <c r="AZ13" i="12"/>
  <c r="BB12" i="12"/>
  <c r="K12" i="12"/>
  <c r="AZ12" i="12" s="1"/>
  <c r="K11" i="12"/>
  <c r="BD8" i="12"/>
  <c r="BB9" i="12"/>
  <c r="BA8" i="12"/>
  <c r="BA7" i="12"/>
  <c r="K7" i="12"/>
  <c r="K6" i="12"/>
  <c r="AZ6" i="12" s="1"/>
  <c r="BB36" i="12"/>
  <c r="K47" i="12"/>
  <c r="AZ47" i="12"/>
  <c r="BB38" i="12"/>
  <c r="BC6" i="12"/>
  <c r="BC8" i="12"/>
  <c r="AJ42" i="12"/>
  <c r="AJ54" i="12"/>
  <c r="BD6" i="12"/>
  <c r="BB8" i="12"/>
  <c r="BA36" i="12"/>
  <c r="D45" i="10" s="1"/>
  <c r="AZ8" i="12"/>
  <c r="BC44" i="12"/>
  <c r="F54" i="10" s="1"/>
  <c r="AZ45" i="12"/>
  <c r="BB47" i="12"/>
  <c r="BD50" i="12"/>
  <c r="AP23" i="12"/>
  <c r="BA3" i="12"/>
  <c r="BB3" i="12"/>
  <c r="N54" i="12"/>
  <c r="D54" i="12"/>
  <c r="AR54" i="12"/>
  <c r="AM42" i="12"/>
  <c r="U10" i="12"/>
  <c r="BA10" i="12"/>
  <c r="AA23" i="12"/>
  <c r="AA42" i="12"/>
  <c r="AA54" i="12" s="1"/>
  <c r="AA56" i="12"/>
  <c r="AX23" i="12"/>
  <c r="X42" i="12"/>
  <c r="X54" i="12"/>
  <c r="Y42" i="12"/>
  <c r="Y54" i="12" s="1"/>
  <c r="Y56" i="12"/>
  <c r="T23" i="12"/>
  <c r="AB42" i="12"/>
  <c r="AB54" i="12" s="1"/>
  <c r="AR23" i="12"/>
  <c r="AR56" i="12"/>
  <c r="V54" i="12"/>
  <c r="V56" i="12" s="1"/>
  <c r="Z54" i="12"/>
  <c r="AS23" i="12"/>
  <c r="AS56" i="12" s="1"/>
  <c r="AU42" i="12"/>
  <c r="AU54" i="12" s="1"/>
  <c r="AU56" i="12" s="1"/>
  <c r="J42" i="12"/>
  <c r="J54" i="12" s="1"/>
  <c r="L42" i="12"/>
  <c r="L54" i="12" s="1"/>
  <c r="Q42" i="12"/>
  <c r="Q54" i="12" s="1"/>
  <c r="Q56" i="12"/>
  <c r="O42" i="12"/>
  <c r="O54" i="12"/>
  <c r="T42" i="12"/>
  <c r="T54" i="12"/>
  <c r="AD23" i="12"/>
  <c r="AF56" i="12"/>
  <c r="AT42" i="12"/>
  <c r="AT54" i="12" s="1"/>
  <c r="AT56" i="12" s="1"/>
  <c r="AX54" i="12"/>
  <c r="AX56" i="12" s="1"/>
  <c r="AM54" i="12"/>
  <c r="AY10" i="12"/>
  <c r="K10" i="12"/>
  <c r="AZ10" i="12"/>
  <c r="AP1" i="12"/>
  <c r="BC3" i="12"/>
  <c r="AZ11" i="12"/>
  <c r="U14" i="12"/>
  <c r="BA6" i="12"/>
  <c r="L56" i="12"/>
  <c r="I42" i="12"/>
  <c r="I54" i="12"/>
  <c r="AW42" i="12"/>
  <c r="AW54" i="12" s="1"/>
  <c r="AW56" i="12" s="1"/>
  <c r="AD42" i="12"/>
  <c r="AD54" i="12" s="1"/>
  <c r="AL42" i="12"/>
  <c r="AL54" i="12" s="1"/>
  <c r="AL56" i="12"/>
  <c r="AC42" i="12"/>
  <c r="AC54" i="12"/>
  <c r="AC56" i="12" s="1"/>
  <c r="BA14" i="12"/>
  <c r="C32" i="24"/>
  <c r="F32" i="24" s="1"/>
  <c r="E32" i="24"/>
  <c r="C33" i="24"/>
  <c r="F33" i="24" s="1"/>
  <c r="E33" i="24"/>
  <c r="C34" i="24"/>
  <c r="E34" i="24"/>
  <c r="F34" i="24" s="1"/>
  <c r="C35" i="24"/>
  <c r="E35" i="24"/>
  <c r="F35" i="24"/>
  <c r="C36" i="24"/>
  <c r="F36" i="24" s="1"/>
  <c r="E36" i="24"/>
  <c r="A37" i="24"/>
  <c r="F22" i="24"/>
  <c r="F23" i="24"/>
  <c r="A38" i="24"/>
  <c r="A39" i="24" s="1"/>
  <c r="A40" i="24"/>
  <c r="C20" i="24"/>
  <c r="C32" i="25"/>
  <c r="E32" i="25"/>
  <c r="C33" i="25"/>
  <c r="E33" i="25"/>
  <c r="F33" i="25"/>
  <c r="C34" i="25"/>
  <c r="E34" i="25"/>
  <c r="F34" i="25" s="1"/>
  <c r="C35" i="25"/>
  <c r="E35" i="25"/>
  <c r="F35" i="25"/>
  <c r="C36" i="25"/>
  <c r="E36" i="25"/>
  <c r="A37" i="25"/>
  <c r="C37" i="25" s="1"/>
  <c r="F22" i="25"/>
  <c r="F23" i="25"/>
  <c r="E37" i="25"/>
  <c r="A38" i="25"/>
  <c r="C38" i="25" s="1"/>
  <c r="E38" i="25"/>
  <c r="C20" i="25"/>
  <c r="C32" i="26"/>
  <c r="F32" i="26" s="1"/>
  <c r="E32" i="26"/>
  <c r="C33" i="26"/>
  <c r="F33" i="26" s="1"/>
  <c r="E33" i="26"/>
  <c r="C34" i="26"/>
  <c r="E34" i="26"/>
  <c r="C35" i="26"/>
  <c r="F35" i="26" s="1"/>
  <c r="E35" i="26"/>
  <c r="C36" i="26"/>
  <c r="E36" i="26"/>
  <c r="F36" i="26" s="1"/>
  <c r="A37" i="26"/>
  <c r="F22" i="26"/>
  <c r="F23" i="26"/>
  <c r="E37" i="26"/>
  <c r="A38" i="26"/>
  <c r="E38" i="26" s="1"/>
  <c r="A39" i="26"/>
  <c r="C20" i="26"/>
  <c r="C32" i="27"/>
  <c r="E32" i="27"/>
  <c r="F32" i="27" s="1"/>
  <c r="C33" i="27"/>
  <c r="F33" i="27" s="1"/>
  <c r="E33" i="27"/>
  <c r="C34" i="27"/>
  <c r="E34" i="27"/>
  <c r="C35" i="27"/>
  <c r="E35" i="27"/>
  <c r="F35" i="27"/>
  <c r="C36" i="27"/>
  <c r="E36" i="27"/>
  <c r="F36" i="27" s="1"/>
  <c r="A37" i="27"/>
  <c r="F22" i="27"/>
  <c r="F23" i="27"/>
  <c r="E37" i="27"/>
  <c r="A38" i="27"/>
  <c r="E38" i="27"/>
  <c r="A39" i="27"/>
  <c r="C20" i="27"/>
  <c r="B13" i="38"/>
  <c r="C13" i="38"/>
  <c r="D13" i="38"/>
  <c r="E13" i="38"/>
  <c r="F13" i="38"/>
  <c r="C17" i="38"/>
  <c r="B17" i="38"/>
  <c r="F17" i="38"/>
  <c r="E17" i="38"/>
  <c r="E22" i="38"/>
  <c r="D17" i="38"/>
  <c r="D22" i="38"/>
  <c r="B10" i="38"/>
  <c r="C10" i="38"/>
  <c r="D10" i="38"/>
  <c r="E10" i="38"/>
  <c r="F10" i="38"/>
  <c r="AF6" i="17"/>
  <c r="AF13" i="17"/>
  <c r="AF25" i="17"/>
  <c r="B6" i="17"/>
  <c r="B14" i="17" s="1"/>
  <c r="B26" i="17" s="1"/>
  <c r="B12" i="38" s="1"/>
  <c r="B13" i="17"/>
  <c r="B25" i="17"/>
  <c r="B14" i="38"/>
  <c r="L6" i="17"/>
  <c r="L14" i="17" s="1"/>
  <c r="L13" i="17"/>
  <c r="L25" i="17"/>
  <c r="L26" i="17"/>
  <c r="C12" i="38" s="1"/>
  <c r="C14" i="38" s="1"/>
  <c r="AP6" i="17"/>
  <c r="AP13" i="17"/>
  <c r="AP14" i="17" s="1"/>
  <c r="AP25" i="17"/>
  <c r="V6" i="17"/>
  <c r="V14" i="17" s="1"/>
  <c r="V13" i="17"/>
  <c r="V25" i="17"/>
  <c r="V26" i="17"/>
  <c r="F36" i="10"/>
  <c r="F38" i="10"/>
  <c r="F39" i="10"/>
  <c r="G142" i="10"/>
  <c r="G145" i="10"/>
  <c r="G146" i="10"/>
  <c r="G141" i="10"/>
  <c r="F142" i="10"/>
  <c r="F147" i="10" s="1"/>
  <c r="F145" i="10"/>
  <c r="F146" i="10"/>
  <c r="E142" i="10"/>
  <c r="E145" i="10"/>
  <c r="E147" i="10" s="1"/>
  <c r="E146" i="10"/>
  <c r="D145" i="10"/>
  <c r="D146" i="10"/>
  <c r="C142" i="10"/>
  <c r="C147" i="10" s="1"/>
  <c r="C145" i="10"/>
  <c r="C146" i="10"/>
  <c r="B142" i="10"/>
  <c r="B145" i="10"/>
  <c r="B147" i="10" s="1"/>
  <c r="B150" i="10" s="1"/>
  <c r="B151" i="10" s="1"/>
  <c r="B146" i="10"/>
  <c r="G137" i="10"/>
  <c r="G138" i="10" s="1"/>
  <c r="F137" i="10"/>
  <c r="E137" i="10"/>
  <c r="E138" i="10" s="1"/>
  <c r="D137" i="10"/>
  <c r="C137" i="10"/>
  <c r="C138" i="10" s="1"/>
  <c r="B137" i="10"/>
  <c r="G107" i="10"/>
  <c r="F107" i="10"/>
  <c r="E107" i="10"/>
  <c r="D107" i="10"/>
  <c r="C107" i="10"/>
  <c r="B107" i="10"/>
  <c r="G106" i="10"/>
  <c r="F106" i="10"/>
  <c r="E106" i="10"/>
  <c r="D106" i="10"/>
  <c r="C106" i="10"/>
  <c r="B106" i="10"/>
  <c r="D125" i="10"/>
  <c r="E125" i="10"/>
  <c r="G117" i="10"/>
  <c r="F117" i="10"/>
  <c r="G125" i="10"/>
  <c r="F125" i="10"/>
  <c r="B125" i="10"/>
  <c r="B126" i="10" s="1"/>
  <c r="B127" i="10" s="1"/>
  <c r="C125" i="10"/>
  <c r="B16" i="10"/>
  <c r="B73" i="10"/>
  <c r="B80" i="10"/>
  <c r="I80" i="10" s="1"/>
  <c r="B92" i="10"/>
  <c r="I92" i="10"/>
  <c r="G41" i="10"/>
  <c r="G47" i="10"/>
  <c r="C47" i="10"/>
  <c r="G170" i="10"/>
  <c r="F170" i="10"/>
  <c r="I87" i="10"/>
  <c r="A87" i="10"/>
  <c r="B69" i="10"/>
  <c r="A71" i="10"/>
  <c r="A72" i="10"/>
  <c r="A73" i="10"/>
  <c r="A74" i="10"/>
  <c r="A75" i="10"/>
  <c r="A76" i="10"/>
  <c r="A77" i="10"/>
  <c r="A78" i="10"/>
  <c r="A79" i="10"/>
  <c r="A80" i="10"/>
  <c r="A81" i="10"/>
  <c r="A82" i="10"/>
  <c r="A83" i="10"/>
  <c r="A84" i="10"/>
  <c r="A85" i="10"/>
  <c r="A86" i="10"/>
  <c r="A88" i="10"/>
  <c r="A89" i="10"/>
  <c r="A90" i="10"/>
  <c r="A91" i="10"/>
  <c r="A92" i="10"/>
  <c r="A93" i="10"/>
  <c r="A94" i="10"/>
  <c r="A95" i="10"/>
  <c r="A96" i="10"/>
  <c r="A97" i="10"/>
  <c r="I86" i="10"/>
  <c r="B152" i="10"/>
  <c r="C151" i="10"/>
  <c r="D138" i="10"/>
  <c r="F138" i="10"/>
  <c r="B138" i="10"/>
  <c r="D147" i="10"/>
  <c r="I75" i="10"/>
  <c r="I76" i="10"/>
  <c r="I77" i="10"/>
  <c r="I78" i="10"/>
  <c r="I79" i="10"/>
  <c r="I83" i="10"/>
  <c r="I84" i="10"/>
  <c r="I85" i="10"/>
  <c r="I88" i="10"/>
  <c r="I89" i="10"/>
  <c r="I90" i="10"/>
  <c r="I91" i="10"/>
  <c r="I94" i="10"/>
  <c r="I96" i="10"/>
  <c r="I72" i="10"/>
  <c r="B63" i="10"/>
  <c r="A64" i="10"/>
  <c r="A63" i="10"/>
  <c r="A62" i="10"/>
  <c r="A61" i="10"/>
  <c r="A60" i="10"/>
  <c r="A59" i="10"/>
  <c r="A58" i="10"/>
  <c r="A57" i="10"/>
  <c r="A56" i="10"/>
  <c r="A55" i="10"/>
  <c r="A54" i="10"/>
  <c r="B50" i="10"/>
  <c r="B44" i="10"/>
  <c r="B51" i="10" s="1"/>
  <c r="B64" i="10" s="1"/>
  <c r="I55" i="10" s="1"/>
  <c r="A51" i="10"/>
  <c r="A50" i="10"/>
  <c r="A46" i="10"/>
  <c r="A47" i="10"/>
  <c r="A48" i="10"/>
  <c r="A49" i="10"/>
  <c r="A45" i="10"/>
  <c r="A44" i="10"/>
  <c r="A37" i="10"/>
  <c r="A38" i="10"/>
  <c r="A39" i="10"/>
  <c r="A40" i="10"/>
  <c r="A41" i="10"/>
  <c r="A42" i="10"/>
  <c r="A43" i="10"/>
  <c r="A36" i="10"/>
  <c r="B24" i="10"/>
  <c r="A29" i="10"/>
  <c r="A28" i="10"/>
  <c r="A27" i="10"/>
  <c r="A26" i="10"/>
  <c r="A25" i="10"/>
  <c r="A24" i="10"/>
  <c r="A23" i="10"/>
  <c r="A22" i="10"/>
  <c r="A20" i="10"/>
  <c r="A19" i="10"/>
  <c r="A18" i="10"/>
  <c r="A16" i="10"/>
  <c r="A15" i="10"/>
  <c r="A14" i="10"/>
  <c r="A13" i="10"/>
  <c r="A12" i="10"/>
  <c r="G61" i="10"/>
  <c r="G57" i="10"/>
  <c r="G43" i="10"/>
  <c r="G28" i="10"/>
  <c r="G26" i="10"/>
  <c r="G19" i="10"/>
  <c r="G13" i="10"/>
  <c r="F62" i="10"/>
  <c r="F55" i="10"/>
  <c r="F42" i="10"/>
  <c r="F18" i="10"/>
  <c r="E62" i="10"/>
  <c r="E61" i="10"/>
  <c r="E58" i="10"/>
  <c r="E56" i="10"/>
  <c r="E55" i="10"/>
  <c r="E48" i="10"/>
  <c r="E43" i="10"/>
  <c r="E42" i="10"/>
  <c r="E28" i="10"/>
  <c r="E26" i="10"/>
  <c r="E19" i="10"/>
  <c r="D61" i="10"/>
  <c r="D55" i="10"/>
  <c r="D42" i="10"/>
  <c r="D26" i="10"/>
  <c r="D18" i="10"/>
  <c r="C48" i="10"/>
  <c r="C41" i="10"/>
  <c r="C42" i="10"/>
  <c r="G62" i="10"/>
  <c r="C58" i="10"/>
  <c r="G55" i="10"/>
  <c r="G49" i="10"/>
  <c r="C49" i="10"/>
  <c r="F47" i="10"/>
  <c r="C43" i="10"/>
  <c r="C39" i="10"/>
  <c r="C27" i="10"/>
  <c r="G23" i="10"/>
  <c r="D19" i="10"/>
  <c r="C19" i="10"/>
  <c r="E18" i="10"/>
  <c r="G14" i="10"/>
  <c r="G16" i="10" s="1"/>
  <c r="D15" i="10"/>
  <c r="E15" i="10"/>
  <c r="E14" i="10"/>
  <c r="C15" i="10"/>
  <c r="D14" i="10"/>
  <c r="D16" i="10" s="1"/>
  <c r="B32" i="10"/>
  <c r="I8" i="10"/>
  <c r="I32" i="10"/>
  <c r="E45" i="10"/>
  <c r="C57" i="10"/>
  <c r="E47" i="10"/>
  <c r="C36" i="10"/>
  <c r="F14" i="10"/>
  <c r="E17" i="10"/>
  <c r="C14" i="10"/>
  <c r="I73" i="10"/>
  <c r="I69" i="10"/>
  <c r="G45" i="10"/>
  <c r="D13" i="10"/>
  <c r="D38" i="10"/>
  <c r="E27" i="10"/>
  <c r="G25" i="10"/>
  <c r="G12" i="10"/>
  <c r="G20" i="10" s="1"/>
  <c r="D48" i="10"/>
  <c r="D62" i="10"/>
  <c r="G48" i="10"/>
  <c r="C16" i="10"/>
  <c r="E13" i="10"/>
  <c r="D36" i="10"/>
  <c r="C45" i="10"/>
  <c r="C60" i="10"/>
  <c r="C55" i="10"/>
  <c r="C59" i="10"/>
  <c r="G54" i="10"/>
  <c r="D57" i="10"/>
  <c r="F25" i="10"/>
  <c r="F48" i="10"/>
  <c r="D59" i="10"/>
  <c r="E25" i="10"/>
  <c r="C25" i="10"/>
  <c r="E36" i="10"/>
  <c r="E41" i="10"/>
  <c r="F23" i="10"/>
  <c r="G38" i="10"/>
  <c r="G56" i="10"/>
  <c r="F45" i="10"/>
  <c r="E59" i="10"/>
  <c r="C9" i="10"/>
  <c r="E57" i="10"/>
  <c r="G36" i="10"/>
  <c r="D9" i="10"/>
  <c r="D102" i="10"/>
  <c r="F49" i="10"/>
  <c r="C18" i="10"/>
  <c r="F13" i="10"/>
  <c r="C38" i="10"/>
  <c r="G17" i="10"/>
  <c r="D70" i="10"/>
  <c r="G147" i="10"/>
  <c r="G60" i="10"/>
  <c r="C12" i="10"/>
  <c r="G58" i="10"/>
  <c r="C70" i="10"/>
  <c r="E38" i="10"/>
  <c r="B81" i="10"/>
  <c r="I81" i="10" s="1"/>
  <c r="E9" i="10"/>
  <c r="D130" i="10"/>
  <c r="E23" i="10"/>
  <c r="C26" i="10"/>
  <c r="C33" i="10"/>
  <c r="D17" i="10"/>
  <c r="C23" i="10"/>
  <c r="C28" i="10"/>
  <c r="E39" i="10"/>
  <c r="F12" i="10"/>
  <c r="I45" i="10"/>
  <c r="E60" i="10"/>
  <c r="B93" i="10"/>
  <c r="D12" i="10"/>
  <c r="E130" i="10"/>
  <c r="E102" i="10"/>
  <c r="L9" i="10"/>
  <c r="L33" i="10" s="1"/>
  <c r="E33" i="10"/>
  <c r="E70" i="10"/>
  <c r="C17" i="10"/>
  <c r="L70" i="10"/>
  <c r="AE24" i="17"/>
  <c r="BB24" i="17"/>
  <c r="E91" i="10"/>
  <c r="AE4" i="17"/>
  <c r="BB4" i="17" s="1"/>
  <c r="E71" i="10"/>
  <c r="U17" i="17"/>
  <c r="BA17" i="17" s="1"/>
  <c r="D84" i="10" s="1"/>
  <c r="U4" i="17"/>
  <c r="BA4" i="17" s="1"/>
  <c r="D71" i="10" s="1"/>
  <c r="K84" i="10"/>
  <c r="U20" i="17"/>
  <c r="BA20" i="17"/>
  <c r="D87" i="10" s="1"/>
  <c r="K87" i="10" s="1"/>
  <c r="AE19" i="17"/>
  <c r="BB19" i="17" s="1"/>
  <c r="E86" i="10"/>
  <c r="AE10" i="17"/>
  <c r="BB10" i="17" s="1"/>
  <c r="AE9" i="17"/>
  <c r="BB9" i="17" s="1"/>
  <c r="E76" i="10"/>
  <c r="U10" i="17"/>
  <c r="BA10" i="17" s="1"/>
  <c r="D77" i="10" s="1"/>
  <c r="K77" i="10" s="1"/>
  <c r="AE22" i="17"/>
  <c r="BB22" i="17" s="1"/>
  <c r="E89" i="10"/>
  <c r="AE23" i="17"/>
  <c r="BB23" i="17" s="1"/>
  <c r="E90" i="10" s="1"/>
  <c r="AE17" i="17"/>
  <c r="BB17" i="17" s="1"/>
  <c r="E84" i="10"/>
  <c r="L84" i="10" s="1"/>
  <c r="AE18" i="17"/>
  <c r="BB18" i="17" s="1"/>
  <c r="E85" i="10" s="1"/>
  <c r="AE20" i="17"/>
  <c r="BB20" i="17" s="1"/>
  <c r="E87" i="10"/>
  <c r="AE21" i="17"/>
  <c r="BB21" i="17" s="1"/>
  <c r="E88" i="10" s="1"/>
  <c r="L88" i="10" s="1"/>
  <c r="U18" i="17"/>
  <c r="BA18" i="17" s="1"/>
  <c r="D85" i="10"/>
  <c r="K85" i="10" s="1"/>
  <c r="U23" i="17"/>
  <c r="BA23" i="17" s="1"/>
  <c r="D90" i="10" s="1"/>
  <c r="K90" i="10" s="1"/>
  <c r="U22" i="17"/>
  <c r="BA22" i="17" s="1"/>
  <c r="D89" i="10"/>
  <c r="K89" i="10" s="1"/>
  <c r="U19" i="17"/>
  <c r="BA19" i="17" s="1"/>
  <c r="D86" i="10" s="1"/>
  <c r="K86" i="10" s="1"/>
  <c r="U21" i="17"/>
  <c r="BA21" i="17" s="1"/>
  <c r="D88" i="10"/>
  <c r="K88" i="10" s="1"/>
  <c r="U12" i="17"/>
  <c r="BA12" i="17" s="1"/>
  <c r="D79" i="10" s="1"/>
  <c r="K79" i="10" s="1"/>
  <c r="AE12" i="17"/>
  <c r="BB12" i="17" s="1"/>
  <c r="E79" i="10"/>
  <c r="K21" i="17"/>
  <c r="AZ21" i="17" s="1"/>
  <c r="C88" i="10" s="1"/>
  <c r="J88" i="10" s="1"/>
  <c r="K4" i="17"/>
  <c r="AZ4" i="17"/>
  <c r="C71" i="10" s="1"/>
  <c r="C73" i="10" s="1"/>
  <c r="K22" i="17"/>
  <c r="AZ22" i="17"/>
  <c r="C89" i="10" s="1"/>
  <c r="J89" i="10"/>
  <c r="K24" i="17"/>
  <c r="AZ24" i="17"/>
  <c r="C91" i="10" s="1"/>
  <c r="J91" i="10" s="1"/>
  <c r="K29" i="17"/>
  <c r="AZ29" i="17"/>
  <c r="C96" i="10" s="1"/>
  <c r="J96" i="10" s="1"/>
  <c r="K17" i="17"/>
  <c r="AZ17" i="17"/>
  <c r="C84" i="10" s="1"/>
  <c r="J84" i="10" s="1"/>
  <c r="K12" i="17"/>
  <c r="AZ12" i="17"/>
  <c r="C79" i="10" s="1"/>
  <c r="J79" i="10"/>
  <c r="K10" i="17"/>
  <c r="AZ10" i="17"/>
  <c r="C77" i="10" s="1"/>
  <c r="J77" i="10" s="1"/>
  <c r="K19" i="17"/>
  <c r="AZ19" i="17"/>
  <c r="C86" i="10" s="1"/>
  <c r="J86" i="10" s="1"/>
  <c r="U9" i="17"/>
  <c r="BA9" i="17"/>
  <c r="D76" i="10" s="1"/>
  <c r="K76" i="10" s="1"/>
  <c r="AE29" i="17"/>
  <c r="BB29" i="17"/>
  <c r="E96" i="10" s="1"/>
  <c r="K18" i="17"/>
  <c r="AZ18" i="17"/>
  <c r="C85" i="10" s="1"/>
  <c r="J85" i="10" s="1"/>
  <c r="K9" i="17"/>
  <c r="AZ9" i="17"/>
  <c r="C76" i="10" s="1"/>
  <c r="J76" i="10" s="1"/>
  <c r="U24" i="17"/>
  <c r="BA24" i="17"/>
  <c r="D91" i="10" s="1"/>
  <c r="K91" i="10" s="1"/>
  <c r="U29" i="17"/>
  <c r="BA29" i="17"/>
  <c r="D96" i="10" s="1"/>
  <c r="K96" i="10"/>
  <c r="AO29" i="17"/>
  <c r="BC29" i="17"/>
  <c r="F96" i="10" s="1"/>
  <c r="AO4" i="17"/>
  <c r="BC4" i="17" s="1"/>
  <c r="F71" i="10"/>
  <c r="K20" i="17"/>
  <c r="AZ20" i="17" s="1"/>
  <c r="C87" i="10" s="1"/>
  <c r="AO23" i="17"/>
  <c r="BC23" i="17" s="1"/>
  <c r="F90" i="10"/>
  <c r="AO17" i="17"/>
  <c r="BC17" i="17" s="1"/>
  <c r="F84" i="10" s="1"/>
  <c r="M84" i="10" s="1"/>
  <c r="AO9" i="17"/>
  <c r="BC9" i="17" s="1"/>
  <c r="F76" i="10"/>
  <c r="AO21" i="17"/>
  <c r="BC21" i="17" s="1"/>
  <c r="F88" i="10" s="1"/>
  <c r="AO18" i="17"/>
  <c r="BC18" i="17" s="1"/>
  <c r="F85" i="10"/>
  <c r="AO10" i="17"/>
  <c r="BC10" i="17" s="1"/>
  <c r="F77" i="10" s="1"/>
  <c r="AO19" i="17"/>
  <c r="BC19" i="17" s="1"/>
  <c r="F86" i="10"/>
  <c r="M86" i="10" s="1"/>
  <c r="AO24" i="17"/>
  <c r="BC24" i="17" s="1"/>
  <c r="F91" i="10" s="1"/>
  <c r="AO22" i="17"/>
  <c r="BC22" i="17" s="1"/>
  <c r="F89" i="10"/>
  <c r="AO20" i="17"/>
  <c r="BC20" i="17" s="1"/>
  <c r="F87" i="10" s="1"/>
  <c r="M87" i="10" s="1"/>
  <c r="AO12" i="17"/>
  <c r="BC12" i="17" s="1"/>
  <c r="F79" i="10"/>
  <c r="L28" i="17"/>
  <c r="D104" i="10" s="1"/>
  <c r="D126" i="10" s="1"/>
  <c r="B28" i="17"/>
  <c r="C104" i="10" s="1"/>
  <c r="C126" i="10"/>
  <c r="V28" i="17"/>
  <c r="E104" i="10" s="1"/>
  <c r="E126" i="10" s="1"/>
  <c r="K5" i="17"/>
  <c r="AZ5" i="17"/>
  <c r="C72" i="10" s="1"/>
  <c r="J73" i="10"/>
  <c r="U5" i="17"/>
  <c r="BA5" i="17"/>
  <c r="D72" i="10" s="1"/>
  <c r="D73" i="10" s="1"/>
  <c r="K72" i="10"/>
  <c r="AE5" i="17"/>
  <c r="BB5" i="17"/>
  <c r="E72" i="10" s="1"/>
  <c r="AO5" i="17"/>
  <c r="BC5" i="17"/>
  <c r="F72" i="10" s="1"/>
  <c r="K23" i="17"/>
  <c r="AZ23" i="17"/>
  <c r="C90" i="10" s="1"/>
  <c r="AY9" i="17"/>
  <c r="BD9" i="17" s="1"/>
  <c r="AY4" i="17"/>
  <c r="BD4" i="17"/>
  <c r="G71" i="10" s="1"/>
  <c r="G73" i="10" s="1"/>
  <c r="N73" i="10" s="1"/>
  <c r="AY20" i="17"/>
  <c r="BD20" i="17"/>
  <c r="G87" i="10" s="1"/>
  <c r="N87" i="10"/>
  <c r="AY18" i="17"/>
  <c r="BD18" i="17"/>
  <c r="G85" i="10" s="1"/>
  <c r="AY22" i="17"/>
  <c r="BD22" i="17"/>
  <c r="G89" i="10" s="1"/>
  <c r="AY10" i="17"/>
  <c r="BD10" i="17"/>
  <c r="G77" i="10" s="1"/>
  <c r="N77" i="10"/>
  <c r="AY24" i="17"/>
  <c r="BD24" i="17"/>
  <c r="G91" i="10" s="1"/>
  <c r="N91" i="10" s="1"/>
  <c r="AY23" i="17"/>
  <c r="BD23" i="17"/>
  <c r="G90" i="10" s="1"/>
  <c r="N90" i="10"/>
  <c r="AY17" i="17"/>
  <c r="BD17" i="17"/>
  <c r="G84" i="10" s="1"/>
  <c r="N84" i="10" s="1"/>
  <c r="AY29" i="17"/>
  <c r="BD29" i="17"/>
  <c r="G96" i="10" s="1"/>
  <c r="N96" i="10" s="1"/>
  <c r="AY5" i="17"/>
  <c r="BD5" i="17"/>
  <c r="G72" i="10" s="1"/>
  <c r="N72" i="10"/>
  <c r="AY21" i="17"/>
  <c r="BD21" i="17"/>
  <c r="G88" i="10" s="1"/>
  <c r="N88" i="10"/>
  <c r="AY19" i="17"/>
  <c r="BD19" i="17"/>
  <c r="G86" i="10" s="1"/>
  <c r="AY12" i="17"/>
  <c r="BD12" i="17"/>
  <c r="G79" i="10" s="1"/>
  <c r="F22" i="23"/>
  <c r="F23" i="23"/>
  <c r="C32" i="23"/>
  <c r="F32" i="23" s="1"/>
  <c r="E32" i="23"/>
  <c r="C33" i="23"/>
  <c r="E33" i="23"/>
  <c r="F33" i="23"/>
  <c r="C34" i="23"/>
  <c r="E34" i="23"/>
  <c r="F34" i="23" s="1"/>
  <c r="C35" i="23"/>
  <c r="F35" i="23" s="1"/>
  <c r="E35" i="23"/>
  <c r="C36" i="23"/>
  <c r="E36" i="23"/>
  <c r="A37" i="23"/>
  <c r="A38" i="23"/>
  <c r="C20" i="23"/>
  <c r="B59" i="23"/>
  <c r="H97" i="23"/>
  <c r="C8" i="17" s="1"/>
  <c r="K8" i="17" s="1"/>
  <c r="B59" i="24"/>
  <c r="H97" i="24" s="1"/>
  <c r="M8" i="17" s="1"/>
  <c r="U8" i="17" s="1"/>
  <c r="B59" i="25"/>
  <c r="H97" i="25" s="1"/>
  <c r="W8" i="17" s="1"/>
  <c r="B59" i="26"/>
  <c r="H97" i="26"/>
  <c r="AG8" i="17" s="1"/>
  <c r="AO8" i="17" s="1"/>
  <c r="J9" i="23"/>
  <c r="J10" i="23" s="1"/>
  <c r="J8" i="23"/>
  <c r="J9" i="24"/>
  <c r="J10" i="24" s="1"/>
  <c r="J8" i="24"/>
  <c r="J9" i="25"/>
  <c r="J9" i="26"/>
  <c r="B59" i="27"/>
  <c r="H97" i="27" s="1"/>
  <c r="AQ8" i="17" s="1"/>
  <c r="AY8" i="17" s="1"/>
  <c r="BD8" i="17"/>
  <c r="G75" i="10" s="1"/>
  <c r="N75" i="10" s="1"/>
  <c r="J9" i="27"/>
  <c r="C56" i="36"/>
  <c r="D56" i="36"/>
  <c r="E56" i="36"/>
  <c r="F56" i="36"/>
  <c r="B56" i="36"/>
  <c r="C53" i="36"/>
  <c r="D53" i="36"/>
  <c r="E53" i="36"/>
  <c r="F53" i="36"/>
  <c r="B53" i="36"/>
  <c r="C46" i="36"/>
  <c r="D46" i="36"/>
  <c r="E46" i="36"/>
  <c r="F46" i="36"/>
  <c r="B46" i="36"/>
  <c r="B39" i="36"/>
  <c r="C39" i="36"/>
  <c r="D39" i="36"/>
  <c r="E39" i="36"/>
  <c r="F39" i="36"/>
  <c r="B37" i="36"/>
  <c r="C30" i="36"/>
  <c r="D30" i="36"/>
  <c r="E30" i="36"/>
  <c r="F30" i="36"/>
  <c r="B30" i="36"/>
  <c r="C25" i="36"/>
  <c r="D25" i="36"/>
  <c r="E25" i="36"/>
  <c r="F25" i="36"/>
  <c r="B25" i="36"/>
  <c r="C20" i="36"/>
  <c r="D20" i="36"/>
  <c r="E20" i="36"/>
  <c r="F20" i="36"/>
  <c r="B20" i="36"/>
  <c r="B13" i="36"/>
  <c r="C13" i="36"/>
  <c r="D13" i="36"/>
  <c r="E13" i="36"/>
  <c r="F13" i="36"/>
  <c r="B11" i="36"/>
  <c r="C11" i="36"/>
  <c r="C37" i="36"/>
  <c r="D11" i="36"/>
  <c r="D37" i="36"/>
  <c r="E11" i="36"/>
  <c r="E37" i="36"/>
  <c r="F11" i="36"/>
  <c r="F37" i="36"/>
  <c r="B38" i="36"/>
  <c r="B40" i="36"/>
  <c r="B47" i="36" s="1"/>
  <c r="B51" i="36" s="1"/>
  <c r="B55" i="36"/>
  <c r="B12" i="36"/>
  <c r="B14" i="36"/>
  <c r="C38" i="36"/>
  <c r="C40" i="36"/>
  <c r="C47" i="36" s="1"/>
  <c r="C55" i="36"/>
  <c r="C12" i="36"/>
  <c r="C14" i="36"/>
  <c r="C48" i="36"/>
  <c r="B48" i="36"/>
  <c r="C51" i="36"/>
  <c r="H10" i="33"/>
  <c r="B24" i="33"/>
  <c r="B26" i="33" s="1"/>
  <c r="B20" i="33" s="1"/>
  <c r="C24" i="33"/>
  <c r="C47" i="33"/>
  <c r="C46" i="33" s="1"/>
  <c r="D24" i="33"/>
  <c r="E24" i="33"/>
  <c r="E47" i="33"/>
  <c r="E46" i="33" s="1"/>
  <c r="F24" i="33"/>
  <c r="F47" i="33" s="1"/>
  <c r="G24" i="33"/>
  <c r="G47" i="33" s="1"/>
  <c r="G46" i="33" s="1"/>
  <c r="G70" i="33"/>
  <c r="F70" i="33"/>
  <c r="A50" i="33"/>
  <c r="A51" i="33"/>
  <c r="A52" i="33"/>
  <c r="A53" i="33"/>
  <c r="A54" i="33"/>
  <c r="A55" i="33"/>
  <c r="A56" i="33"/>
  <c r="A57" i="33"/>
  <c r="A58" i="33"/>
  <c r="A59" i="33"/>
  <c r="A20" i="33"/>
  <c r="A24" i="33"/>
  <c r="A25" i="33"/>
  <c r="F46" i="33"/>
  <c r="B25" i="33"/>
  <c r="B57" i="33"/>
  <c r="B56" i="33"/>
  <c r="B55" i="33"/>
  <c r="B52" i="33"/>
  <c r="B50" i="33"/>
  <c r="B51" i="33"/>
  <c r="B54" i="33"/>
  <c r="B58" i="33"/>
  <c r="B53" i="33"/>
  <c r="D25" i="33"/>
  <c r="D55" i="33"/>
  <c r="D52" i="33"/>
  <c r="D53" i="33"/>
  <c r="D54" i="33"/>
  <c r="C25" i="33"/>
  <c r="C55" i="33"/>
  <c r="C54" i="33"/>
  <c r="E25" i="33"/>
  <c r="C56" i="33"/>
  <c r="C58" i="33"/>
  <c r="C57" i="33"/>
  <c r="D60" i="33"/>
  <c r="C60" i="33"/>
  <c r="N22" i="1"/>
  <c r="P20" i="1"/>
  <c r="O55" i="1"/>
  <c r="P55" i="1"/>
  <c r="N55" i="1"/>
  <c r="M24" i="1"/>
  <c r="M20" i="1"/>
  <c r="N24" i="1"/>
  <c r="N20" i="1"/>
  <c r="O24" i="1"/>
  <c r="O20" i="1"/>
  <c r="C140" i="1"/>
  <c r="G140" i="1"/>
  <c r="L24" i="1"/>
  <c r="L20" i="1"/>
  <c r="I20" i="1" s="1"/>
  <c r="I105" i="1" s="1"/>
  <c r="L55" i="1"/>
  <c r="I55" i="1" s="1"/>
  <c r="M55" i="1"/>
  <c r="M128" i="1"/>
  <c r="N128" i="1"/>
  <c r="O128" i="1"/>
  <c r="P128" i="1"/>
  <c r="L128" i="1"/>
  <c r="M137" i="1"/>
  <c r="M135" i="1" s="1"/>
  <c r="N137" i="1"/>
  <c r="N135" i="1" s="1"/>
  <c r="O137" i="1"/>
  <c r="O135" i="1" s="1"/>
  <c r="P137" i="1"/>
  <c r="P135" i="1" s="1"/>
  <c r="L137" i="1"/>
  <c r="L135" i="1" s="1"/>
  <c r="I135" i="1"/>
  <c r="D131" i="1"/>
  <c r="E131" i="1"/>
  <c r="F131" i="1"/>
  <c r="G131" i="1"/>
  <c r="C131" i="1"/>
  <c r="H128" i="1"/>
  <c r="B115" i="1"/>
  <c r="F159" i="1"/>
  <c r="E159" i="1"/>
  <c r="Q139" i="1"/>
  <c r="M139" i="1"/>
  <c r="M141" i="1" s="1"/>
  <c r="M138" i="1"/>
  <c r="N139" i="1"/>
  <c r="N141" i="1"/>
  <c r="N138" i="1" s="1"/>
  <c r="O139" i="1"/>
  <c r="O141" i="1" s="1"/>
  <c r="O138" i="1"/>
  <c r="P139" i="1"/>
  <c r="P141" i="1"/>
  <c r="P138" i="1" s="1"/>
  <c r="L139" i="1"/>
  <c r="L141" i="1" s="1"/>
  <c r="L138" i="1"/>
  <c r="I138" i="1" s="1"/>
  <c r="D139" i="1"/>
  <c r="E139" i="1"/>
  <c r="E140" i="1"/>
  <c r="E141" i="1" s="1"/>
  <c r="F139" i="1"/>
  <c r="G139" i="1"/>
  <c r="G141" i="1" s="1"/>
  <c r="D140" i="1"/>
  <c r="F140" i="1"/>
  <c r="C139" i="1"/>
  <c r="C141" i="1" s="1"/>
  <c r="C138" i="1" s="1"/>
  <c r="A132" i="1"/>
  <c r="A130" i="1"/>
  <c r="Q137" i="1"/>
  <c r="A137" i="1"/>
  <c r="B126" i="1"/>
  <c r="B103" i="1"/>
  <c r="B76" i="1"/>
  <c r="B59" i="1"/>
  <c r="B43" i="1"/>
  <c r="N126" i="1"/>
  <c r="O126" i="1"/>
  <c r="P126" i="1"/>
  <c r="Q126" i="1"/>
  <c r="M126" i="1"/>
  <c r="N103" i="1"/>
  <c r="O103" i="1"/>
  <c r="P103" i="1"/>
  <c r="Q103" i="1"/>
  <c r="M103" i="1"/>
  <c r="N76" i="1"/>
  <c r="O76" i="1"/>
  <c r="P76" i="1"/>
  <c r="Q76" i="1"/>
  <c r="M76" i="1"/>
  <c r="N59" i="1"/>
  <c r="O59" i="1"/>
  <c r="P59" i="1"/>
  <c r="Q59" i="1"/>
  <c r="N43" i="1"/>
  <c r="O43" i="1"/>
  <c r="P43" i="1"/>
  <c r="Q43" i="1"/>
  <c r="M59" i="1"/>
  <c r="M43" i="1"/>
  <c r="B26" i="1"/>
  <c r="J121" i="1"/>
  <c r="I121" i="1"/>
  <c r="J117" i="1"/>
  <c r="I117" i="1"/>
  <c r="J109" i="1"/>
  <c r="I109" i="1"/>
  <c r="J99" i="1"/>
  <c r="I99" i="1"/>
  <c r="J96" i="1"/>
  <c r="I96" i="1"/>
  <c r="J93" i="1"/>
  <c r="I93" i="1"/>
  <c r="J87" i="1"/>
  <c r="I87" i="1"/>
  <c r="J84" i="1"/>
  <c r="I84" i="1"/>
  <c r="J81" i="1"/>
  <c r="I81" i="1"/>
  <c r="J78" i="1"/>
  <c r="I78" i="1"/>
  <c r="I69" i="1"/>
  <c r="J69" i="1"/>
  <c r="J61" i="1"/>
  <c r="I61" i="1"/>
  <c r="J51" i="1"/>
  <c r="I51" i="1"/>
  <c r="J48" i="1"/>
  <c r="I48" i="1"/>
  <c r="J45" i="1"/>
  <c r="I45" i="1"/>
  <c r="J14" i="1"/>
  <c r="I14" i="1"/>
  <c r="J11" i="1"/>
  <c r="I11" i="1"/>
  <c r="Q92" i="1"/>
  <c r="Q39" i="1"/>
  <c r="Q40" i="1"/>
  <c r="Q24" i="1"/>
  <c r="P92" i="1"/>
  <c r="P90" i="1" s="1"/>
  <c r="P39" i="1"/>
  <c r="P40" i="1" s="1"/>
  <c r="P30" i="1"/>
  <c r="P24" i="1"/>
  <c r="O92" i="1"/>
  <c r="O90" i="1" s="1"/>
  <c r="O39" i="1"/>
  <c r="O40" i="1" s="1"/>
  <c r="O30" i="1"/>
  <c r="N92" i="1"/>
  <c r="N90" i="1"/>
  <c r="N39" i="1"/>
  <c r="N40" i="1"/>
  <c r="N30" i="1" s="1"/>
  <c r="M92" i="1"/>
  <c r="M90" i="1" s="1"/>
  <c r="M39" i="1"/>
  <c r="M40" i="1" s="1"/>
  <c r="M30" i="1"/>
  <c r="L92" i="1"/>
  <c r="L90" i="1"/>
  <c r="I90" i="1" s="1"/>
  <c r="I128" i="1"/>
  <c r="L39" i="1"/>
  <c r="L40" i="1"/>
  <c r="L30" i="1" s="1"/>
  <c r="I30" i="1" s="1"/>
  <c r="I113" i="1" s="1"/>
  <c r="A139" i="1"/>
  <c r="B111" i="1"/>
  <c r="C112" i="1" s="1"/>
  <c r="B73" i="1"/>
  <c r="B31" i="1"/>
  <c r="F111" i="1"/>
  <c r="E15" i="1"/>
  <c r="D16" i="1"/>
  <c r="E26" i="1"/>
  <c r="C47" i="1"/>
  <c r="G15" i="1"/>
  <c r="D50" i="1"/>
  <c r="E16" i="1"/>
  <c r="D47" i="1"/>
  <c r="G26" i="1"/>
  <c r="E111" i="1"/>
  <c r="F112" i="1"/>
  <c r="G16" i="1"/>
  <c r="B107" i="1"/>
  <c r="B21" i="1"/>
  <c r="E73" i="1"/>
  <c r="F16" i="1"/>
  <c r="G111" i="1"/>
  <c r="G112" i="1" s="1"/>
  <c r="E47" i="1"/>
  <c r="E50" i="1"/>
  <c r="C15" i="1"/>
  <c r="C73" i="1"/>
  <c r="C74" i="1" s="1"/>
  <c r="C50" i="1"/>
  <c r="F26" i="1"/>
  <c r="F27" i="1" s="1"/>
  <c r="B119" i="1"/>
  <c r="D21" i="1"/>
  <c r="F141" i="1"/>
  <c r="D111" i="1"/>
  <c r="E112" i="1"/>
  <c r="D26" i="1"/>
  <c r="E27" i="1"/>
  <c r="E25" i="1" s="1"/>
  <c r="F142" i="1"/>
  <c r="F138" i="1"/>
  <c r="F73" i="1"/>
  <c r="F50" i="1"/>
  <c r="F47" i="1"/>
  <c r="F15" i="1"/>
  <c r="D73" i="1"/>
  <c r="E74" i="1"/>
  <c r="D107" i="1"/>
  <c r="D17" i="1"/>
  <c r="D18" i="1" s="1"/>
  <c r="C21" i="1"/>
  <c r="C17" i="1"/>
  <c r="C107" i="1"/>
  <c r="G27" i="1"/>
  <c r="G25" i="1" s="1"/>
  <c r="C142" i="1"/>
  <c r="E142" i="1"/>
  <c r="D12" i="1"/>
  <c r="D142" i="1"/>
  <c r="D74" i="1"/>
  <c r="D15" i="1"/>
  <c r="F74" i="1"/>
  <c r="C111" i="1"/>
  <c r="C26" i="1"/>
  <c r="D27" i="1" s="1"/>
  <c r="C22" i="1"/>
  <c r="C108" i="1"/>
  <c r="D112" i="1"/>
  <c r="C27" i="1"/>
  <c r="D92" i="1"/>
  <c r="E92" i="1"/>
  <c r="C95" i="1"/>
  <c r="D95" i="1"/>
  <c r="D98" i="1"/>
  <c r="D101" i="1"/>
  <c r="E95" i="1"/>
  <c r="E101" i="1"/>
  <c r="E98" i="1"/>
  <c r="E8" i="22"/>
  <c r="I25" i="1" s="1"/>
  <c r="I41" i="1"/>
  <c r="C91" i="1"/>
  <c r="E7" i="22"/>
  <c r="E9" i="22"/>
  <c r="E13" i="22" s="1"/>
  <c r="E10" i="22"/>
  <c r="E11" i="22"/>
  <c r="E12" i="22"/>
  <c r="E6" i="22"/>
  <c r="J25" i="1" s="1"/>
  <c r="D91" i="1"/>
  <c r="E91" i="1"/>
  <c r="E90" i="1" s="1"/>
  <c r="C83" i="1"/>
  <c r="C89" i="1"/>
  <c r="C87" i="1" s="1"/>
  <c r="C88" i="1"/>
  <c r="D83" i="1"/>
  <c r="D86" i="1"/>
  <c r="D89" i="1"/>
  <c r="D88" i="1"/>
  <c r="D87" i="1" s="1"/>
  <c r="D85" i="1"/>
  <c r="E83" i="1"/>
  <c r="E86" i="1"/>
  <c r="E85" i="1"/>
  <c r="E84" i="1" s="1"/>
  <c r="E89" i="1"/>
  <c r="E106" i="1"/>
  <c r="F92" i="1"/>
  <c r="F91" i="1"/>
  <c r="F90" i="1" s="1"/>
  <c r="F101" i="1"/>
  <c r="F95" i="1"/>
  <c r="F98" i="1"/>
  <c r="F89" i="1"/>
  <c r="F88" i="1"/>
  <c r="F87" i="1" s="1"/>
  <c r="F86" i="1"/>
  <c r="F85" i="1"/>
  <c r="F84" i="1"/>
  <c r="G80" i="1"/>
  <c r="G110" i="1"/>
  <c r="C85" i="1"/>
  <c r="F83" i="1"/>
  <c r="D106" i="1"/>
  <c r="G28" i="1"/>
  <c r="G29" i="1"/>
  <c r="F106" i="1"/>
  <c r="C56" i="1"/>
  <c r="D118" i="1"/>
  <c r="D122" i="1"/>
  <c r="D56" i="1"/>
  <c r="E118" i="1"/>
  <c r="E122" i="1"/>
  <c r="F118" i="1"/>
  <c r="F122" i="1"/>
  <c r="C28" i="1"/>
  <c r="C29" i="1" s="1"/>
  <c r="C25" i="1" s="1"/>
  <c r="C80" i="1"/>
  <c r="C79" i="1"/>
  <c r="C78" i="1" s="1"/>
  <c r="C110" i="1"/>
  <c r="D28" i="1"/>
  <c r="D29" i="1" s="1"/>
  <c r="D25" i="1"/>
  <c r="D110" i="1"/>
  <c r="D109" i="1"/>
  <c r="D80" i="1"/>
  <c r="D79" i="1"/>
  <c r="D78" i="1" s="1"/>
  <c r="E28" i="1"/>
  <c r="E29" i="1" s="1"/>
  <c r="E80" i="1"/>
  <c r="E79" i="1"/>
  <c r="E78" i="1" s="1"/>
  <c r="E110" i="1"/>
  <c r="E109" i="1" s="1"/>
  <c r="F28" i="1"/>
  <c r="F29" i="1" s="1"/>
  <c r="F25" i="1" s="1"/>
  <c r="F80" i="1"/>
  <c r="F79" i="1"/>
  <c r="F78" i="1" s="1"/>
  <c r="F110" i="1"/>
  <c r="F109" i="1" s="1"/>
  <c r="C23" i="1"/>
  <c r="C24" i="1" s="1"/>
  <c r="C20" i="1" s="1"/>
  <c r="D23" i="1"/>
  <c r="D24" i="1"/>
  <c r="E23" i="1"/>
  <c r="E24" i="1" s="1"/>
  <c r="F23" i="1"/>
  <c r="F24" i="1"/>
  <c r="G86" i="1"/>
  <c r="G88" i="1"/>
  <c r="G79" i="1"/>
  <c r="G78" i="1" s="1"/>
  <c r="G106" i="1"/>
  <c r="G23" i="1"/>
  <c r="G24" i="1" s="1"/>
  <c r="G92" i="1"/>
  <c r="G98" i="1"/>
  <c r="G91" i="1"/>
  <c r="G90" i="1" s="1"/>
  <c r="J90" i="1" s="1"/>
  <c r="K6" i="17"/>
  <c r="U6" i="17"/>
  <c r="AE6" i="17"/>
  <c r="AO6" i="17"/>
  <c r="G82" i="1"/>
  <c r="AY6" i="17"/>
  <c r="C24" i="39"/>
  <c r="D24" i="39"/>
  <c r="E24" i="39"/>
  <c r="F24" i="39"/>
  <c r="B24" i="39"/>
  <c r="B11" i="39"/>
  <c r="C11" i="39"/>
  <c r="E11" i="39"/>
  <c r="D11" i="39"/>
  <c r="F11" i="39"/>
  <c r="C140" i="40"/>
  <c r="D140" i="40"/>
  <c r="E140" i="40"/>
  <c r="F140" i="40"/>
  <c r="B140" i="40"/>
  <c r="C136" i="40"/>
  <c r="D136" i="40"/>
  <c r="E136" i="40"/>
  <c r="F136" i="40"/>
  <c r="B136" i="40"/>
  <c r="B134" i="40"/>
  <c r="C134" i="40"/>
  <c r="D134" i="40"/>
  <c r="F134" i="40"/>
  <c r="E134" i="40"/>
  <c r="C129" i="40"/>
  <c r="D129" i="40"/>
  <c r="E129" i="40"/>
  <c r="F129" i="40"/>
  <c r="B129" i="40"/>
  <c r="B109" i="40"/>
  <c r="C109" i="40"/>
  <c r="C110" i="40" s="1"/>
  <c r="D109" i="40"/>
  <c r="E109" i="40"/>
  <c r="F109" i="40"/>
  <c r="B107" i="40"/>
  <c r="C100" i="40"/>
  <c r="D100" i="40"/>
  <c r="E100" i="40"/>
  <c r="F100" i="40"/>
  <c r="B100" i="40"/>
  <c r="C95" i="40"/>
  <c r="D95" i="40"/>
  <c r="E95" i="40"/>
  <c r="F95" i="40"/>
  <c r="B95" i="40"/>
  <c r="C90" i="40"/>
  <c r="D90" i="40"/>
  <c r="E90" i="40"/>
  <c r="F90" i="40"/>
  <c r="B90" i="40"/>
  <c r="B85" i="40"/>
  <c r="B86" i="40" s="1"/>
  <c r="C85" i="40"/>
  <c r="D85" i="40"/>
  <c r="D86" i="40" s="1"/>
  <c r="E85" i="40"/>
  <c r="F85" i="40"/>
  <c r="B72" i="40"/>
  <c r="C60" i="40"/>
  <c r="D60" i="40"/>
  <c r="E60" i="40"/>
  <c r="F60" i="40"/>
  <c r="B60" i="40"/>
  <c r="C65" i="40"/>
  <c r="D65" i="40"/>
  <c r="E65" i="40"/>
  <c r="F65" i="40"/>
  <c r="B65" i="40"/>
  <c r="C53" i="40"/>
  <c r="C55" i="40" s="1"/>
  <c r="D53" i="40"/>
  <c r="D55" i="40" s="1"/>
  <c r="E53" i="40"/>
  <c r="E55" i="40" s="1"/>
  <c r="F53" i="40"/>
  <c r="F55" i="40" s="1"/>
  <c r="B53" i="40"/>
  <c r="B55" i="40" s="1"/>
  <c r="B48" i="40"/>
  <c r="C48" i="40"/>
  <c r="D48" i="40"/>
  <c r="E48" i="40"/>
  <c r="F48" i="40"/>
  <c r="B40" i="40"/>
  <c r="C29" i="40"/>
  <c r="D29" i="40"/>
  <c r="E29" i="40"/>
  <c r="F29" i="40"/>
  <c r="B29" i="40"/>
  <c r="B23" i="40"/>
  <c r="C23" i="40"/>
  <c r="D23" i="40"/>
  <c r="E23" i="40"/>
  <c r="F23" i="40"/>
  <c r="B11" i="40"/>
  <c r="C107" i="40"/>
  <c r="C72" i="40"/>
  <c r="C40" i="40"/>
  <c r="C11" i="40"/>
  <c r="D40" i="40"/>
  <c r="D11" i="40"/>
  <c r="E107" i="40"/>
  <c r="D72" i="40"/>
  <c r="D107" i="40"/>
  <c r="E40" i="40"/>
  <c r="E72" i="40"/>
  <c r="E11" i="40"/>
  <c r="F40" i="40"/>
  <c r="F107" i="40"/>
  <c r="F72" i="40"/>
  <c r="F11" i="40"/>
  <c r="C22" i="40"/>
  <c r="C24" i="40"/>
  <c r="C28" i="40" s="1"/>
  <c r="C27" i="40" s="1"/>
  <c r="C30" i="40" s="1"/>
  <c r="B22" i="40"/>
  <c r="B24" i="40" s="1"/>
  <c r="B28" i="40" s="1"/>
  <c r="C108" i="40"/>
  <c r="B108" i="40"/>
  <c r="B110" i="40" s="1"/>
  <c r="B130" i="40"/>
  <c r="B84" i="40"/>
  <c r="B91" i="40"/>
  <c r="C84" i="40"/>
  <c r="C86" i="40" s="1"/>
  <c r="C91" i="40"/>
  <c r="C47" i="40"/>
  <c r="C49" i="40" s="1"/>
  <c r="C56" i="40"/>
  <c r="C64" i="40" s="1"/>
  <c r="B47" i="40"/>
  <c r="D47" i="40"/>
  <c r="D84" i="40"/>
  <c r="D91" i="40"/>
  <c r="D108" i="40"/>
  <c r="D110" i="40" s="1"/>
  <c r="D130" i="40"/>
  <c r="D139" i="40" s="1"/>
  <c r="C61" i="40"/>
  <c r="W13" i="22"/>
  <c r="J13" i="22"/>
  <c r="F13" i="22"/>
  <c r="D13" i="22"/>
  <c r="B13" i="22"/>
  <c r="Y13" i="22"/>
  <c r="X13" i="22"/>
  <c r="V13" i="22"/>
  <c r="T13" i="22"/>
  <c r="S13" i="22"/>
  <c r="R13" i="22"/>
  <c r="O13" i="22"/>
  <c r="P13" i="22"/>
  <c r="N13" i="22"/>
  <c r="M13" i="22"/>
  <c r="L13" i="22"/>
  <c r="K13" i="22"/>
  <c r="I13" i="22"/>
  <c r="H13" i="22"/>
  <c r="G13" i="22"/>
  <c r="C13" i="22"/>
  <c r="C20" i="32"/>
  <c r="C18" i="32" s="1"/>
  <c r="F58" i="32"/>
  <c r="F62" i="32" s="1"/>
  <c r="E58" i="32"/>
  <c r="E62" i="32" s="1"/>
  <c r="D58" i="32"/>
  <c r="D62" i="32" s="1"/>
  <c r="C58" i="32"/>
  <c r="C62" i="32"/>
  <c r="C68" i="32" s="1"/>
  <c r="B58" i="32"/>
  <c r="B55" i="32"/>
  <c r="C55" i="32"/>
  <c r="D55" i="32"/>
  <c r="E55" i="32"/>
  <c r="F55" i="32"/>
  <c r="B52" i="32"/>
  <c r="C33" i="32"/>
  <c r="D33" i="32"/>
  <c r="D34" i="32" s="1"/>
  <c r="D47" i="32" s="1"/>
  <c r="E33" i="32"/>
  <c r="F33" i="32"/>
  <c r="B33" i="32"/>
  <c r="F36" i="32"/>
  <c r="F39" i="32" s="1"/>
  <c r="E36" i="32"/>
  <c r="D36" i="32"/>
  <c r="D39" i="32" s="1"/>
  <c r="C36" i="32"/>
  <c r="B36" i="32"/>
  <c r="B30" i="32"/>
  <c r="C14" i="32"/>
  <c r="D14" i="32"/>
  <c r="E14" i="32"/>
  <c r="F14" i="32"/>
  <c r="B14" i="32"/>
  <c r="C23" i="32"/>
  <c r="D23" i="32"/>
  <c r="E23" i="32"/>
  <c r="F23" i="32"/>
  <c r="B23" i="32"/>
  <c r="F20" i="32"/>
  <c r="F18" i="32" s="1"/>
  <c r="E20" i="32"/>
  <c r="E18" i="32" s="1"/>
  <c r="D20" i="32"/>
  <c r="D18" i="32" s="1"/>
  <c r="B11" i="32"/>
  <c r="B20" i="32"/>
  <c r="B18" i="32"/>
  <c r="E39" i="32"/>
  <c r="E40" i="32" s="1"/>
  <c r="D45" i="32"/>
  <c r="F40" i="32"/>
  <c r="C39" i="32"/>
  <c r="C40" i="32" s="1"/>
  <c r="E45" i="32"/>
  <c r="D40" i="32"/>
  <c r="C30" i="32"/>
  <c r="C52" i="32"/>
  <c r="C11" i="32"/>
  <c r="D52" i="32"/>
  <c r="E30" i="32"/>
  <c r="D11" i="32"/>
  <c r="D30" i="32"/>
  <c r="E11" i="32"/>
  <c r="E52" i="32"/>
  <c r="F52" i="32"/>
  <c r="F11" i="32"/>
  <c r="F30" i="32"/>
  <c r="C32" i="32"/>
  <c r="C34" i="32"/>
  <c r="C54" i="32"/>
  <c r="C56" i="32"/>
  <c r="B32" i="32"/>
  <c r="B34" i="32" s="1"/>
  <c r="B54" i="32"/>
  <c r="B56" i="32" s="1"/>
  <c r="D54" i="32"/>
  <c r="D56" i="32"/>
  <c r="D32" i="32"/>
  <c r="B13" i="32"/>
  <c r="B15" i="32"/>
  <c r="B24" i="32" s="1"/>
  <c r="C13" i="32"/>
  <c r="D13" i="32"/>
  <c r="D15" i="32"/>
  <c r="D24" i="32" s="1"/>
  <c r="BD33" i="17"/>
  <c r="BC33" i="17"/>
  <c r="BB33" i="17"/>
  <c r="BA33" i="17"/>
  <c r="BD31" i="17"/>
  <c r="BC31" i="17"/>
  <c r="BB31" i="17"/>
  <c r="BA31" i="17"/>
  <c r="AZ33" i="17"/>
  <c r="AZ31" i="17"/>
  <c r="B1" i="17"/>
  <c r="AZ3" i="17" s="1"/>
  <c r="BA3" i="17" s="1"/>
  <c r="L1" i="17"/>
  <c r="V1" i="17" s="1"/>
  <c r="AF1" i="17" s="1"/>
  <c r="AP1" i="17" s="1"/>
  <c r="AX38" i="17"/>
  <c r="AW38" i="17"/>
  <c r="AV38" i="17"/>
  <c r="AU38" i="17"/>
  <c r="AT38" i="17"/>
  <c r="AS38" i="17"/>
  <c r="AR38" i="17"/>
  <c r="AP38" i="17"/>
  <c r="AX25" i="17"/>
  <c r="AW25" i="17"/>
  <c r="AV25" i="17"/>
  <c r="AU25" i="17"/>
  <c r="AT25" i="17"/>
  <c r="AS25" i="17"/>
  <c r="AR25" i="17"/>
  <c r="AS6" i="17"/>
  <c r="AS14" i="17" s="1"/>
  <c r="AS26" i="17" s="1"/>
  <c r="AS37" i="17" s="1"/>
  <c r="AS39" i="17" s="1"/>
  <c r="AS13" i="17"/>
  <c r="AX13" i="17"/>
  <c r="AX14" i="17" s="1"/>
  <c r="AX26" i="17" s="1"/>
  <c r="AW13" i="17"/>
  <c r="AV13" i="17"/>
  <c r="AU13" i="17"/>
  <c r="AT13" i="17"/>
  <c r="AR13" i="17"/>
  <c r="AX6" i="17"/>
  <c r="AW6" i="17"/>
  <c r="AW14" i="17"/>
  <c r="AW26" i="17" s="1"/>
  <c r="AW28" i="17" s="1"/>
  <c r="AW30" i="17" s="1"/>
  <c r="AV6" i="17"/>
  <c r="AU6" i="17"/>
  <c r="AU14" i="17"/>
  <c r="AU26" i="17" s="1"/>
  <c r="AT6" i="17"/>
  <c r="AT14" i="17" s="1"/>
  <c r="AR6" i="17"/>
  <c r="AQ6" i="17"/>
  <c r="AN38" i="17"/>
  <c r="AM38" i="17"/>
  <c r="AL38" i="17"/>
  <c r="AK38" i="17"/>
  <c r="AJ38" i="17"/>
  <c r="AI38" i="17"/>
  <c r="AH38" i="17"/>
  <c r="AF38" i="17"/>
  <c r="AN25" i="17"/>
  <c r="AM25" i="17"/>
  <c r="AL25" i="17"/>
  <c r="AK25" i="17"/>
  <c r="AJ25" i="17"/>
  <c r="AI25" i="17"/>
  <c r="AH25" i="17"/>
  <c r="AN13" i="17"/>
  <c r="AM13" i="17"/>
  <c r="AM6" i="17"/>
  <c r="AM14" i="17" s="1"/>
  <c r="AL13" i="17"/>
  <c r="AK13" i="17"/>
  <c r="AK6" i="17"/>
  <c r="AJ13" i="17"/>
  <c r="AI13" i="17"/>
  <c r="AH13" i="17"/>
  <c r="AH6" i="17"/>
  <c r="AH14" i="17"/>
  <c r="AH26" i="17" s="1"/>
  <c r="AH37" i="17" s="1"/>
  <c r="AH39" i="17" s="1"/>
  <c r="AN6" i="17"/>
  <c r="AN14" i="17" s="1"/>
  <c r="AL6" i="17"/>
  <c r="AL14" i="17"/>
  <c r="AL26" i="17" s="1"/>
  <c r="AL37" i="17" s="1"/>
  <c r="AL39" i="17" s="1"/>
  <c r="AJ6" i="17"/>
  <c r="AJ14" i="17" s="1"/>
  <c r="AI6" i="17"/>
  <c r="AG6" i="17"/>
  <c r="AD38" i="17"/>
  <c r="AC38" i="17"/>
  <c r="AB38" i="17"/>
  <c r="AA38" i="17"/>
  <c r="Z38" i="17"/>
  <c r="Y38" i="17"/>
  <c r="X38" i="17"/>
  <c r="V38" i="17"/>
  <c r="AD25" i="17"/>
  <c r="AD26" i="17" s="1"/>
  <c r="AD28" i="17" s="1"/>
  <c r="AD30" i="17" s="1"/>
  <c r="AC25" i="17"/>
  <c r="AB25" i="17"/>
  <c r="AA25" i="17"/>
  <c r="Z25" i="17"/>
  <c r="Y25" i="17"/>
  <c r="X25" i="17"/>
  <c r="AA6" i="17"/>
  <c r="AA13" i="17"/>
  <c r="AD13" i="17"/>
  <c r="AC13" i="17"/>
  <c r="AB13" i="17"/>
  <c r="Z13" i="17"/>
  <c r="Y13" i="17"/>
  <c r="Y6" i="17"/>
  <c r="Y14" i="17" s="1"/>
  <c r="X13" i="17"/>
  <c r="AD6" i="17"/>
  <c r="AC6" i="17"/>
  <c r="AC14" i="17" s="1"/>
  <c r="AC26" i="17" s="1"/>
  <c r="AC37" i="17" s="1"/>
  <c r="AC39" i="17" s="1"/>
  <c r="AB6" i="17"/>
  <c r="Z6" i="17"/>
  <c r="Z14" i="17" s="1"/>
  <c r="Y26" i="17"/>
  <c r="X6" i="17"/>
  <c r="W6" i="17"/>
  <c r="T38" i="17"/>
  <c r="S38" i="17"/>
  <c r="R38" i="17"/>
  <c r="Q38" i="17"/>
  <c r="P38" i="17"/>
  <c r="O38" i="17"/>
  <c r="N38" i="17"/>
  <c r="L38" i="17"/>
  <c r="T25" i="17"/>
  <c r="S25" i="17"/>
  <c r="R25" i="17"/>
  <c r="Q25" i="17"/>
  <c r="P25" i="17"/>
  <c r="O25" i="17"/>
  <c r="N25" i="17"/>
  <c r="T13" i="17"/>
  <c r="S13" i="17"/>
  <c r="R13" i="17"/>
  <c r="Q13" i="17"/>
  <c r="P13" i="17"/>
  <c r="P14" i="17" s="1"/>
  <c r="P6" i="17"/>
  <c r="O13" i="17"/>
  <c r="N13" i="17"/>
  <c r="T6" i="17"/>
  <c r="S6" i="17"/>
  <c r="R6" i="17"/>
  <c r="R14" i="17" s="1"/>
  <c r="R26" i="17" s="1"/>
  <c r="Q6" i="17"/>
  <c r="O6" i="17"/>
  <c r="N6" i="17"/>
  <c r="M6" i="17"/>
  <c r="F6" i="17"/>
  <c r="F13" i="17"/>
  <c r="F14" i="17" s="1"/>
  <c r="F25" i="17"/>
  <c r="F26" i="17" s="1"/>
  <c r="E6" i="17"/>
  <c r="E13" i="17"/>
  <c r="E14" i="17" s="1"/>
  <c r="E26" i="17" s="1"/>
  <c r="E28" i="17" s="1"/>
  <c r="E30" i="17" s="1"/>
  <c r="E25" i="17"/>
  <c r="I6" i="17"/>
  <c r="I13" i="17"/>
  <c r="I25" i="17"/>
  <c r="D25" i="17"/>
  <c r="G25" i="17"/>
  <c r="H25" i="17"/>
  <c r="J25" i="17"/>
  <c r="J6" i="17"/>
  <c r="J14" i="17" s="1"/>
  <c r="J13" i="17"/>
  <c r="G6" i="17"/>
  <c r="G13" i="17"/>
  <c r="D13" i="17"/>
  <c r="H13" i="17"/>
  <c r="C6" i="17"/>
  <c r="D6" i="17"/>
  <c r="D14" i="17"/>
  <c r="D26" i="17" s="1"/>
  <c r="H6" i="17"/>
  <c r="J38" i="17"/>
  <c r="I38" i="17"/>
  <c r="H38" i="17"/>
  <c r="G38" i="17"/>
  <c r="F38" i="17"/>
  <c r="E38" i="17"/>
  <c r="D38" i="17"/>
  <c r="B38" i="17"/>
  <c r="BB6" i="17"/>
  <c r="AW37" i="17"/>
  <c r="AW39" i="17" s="1"/>
  <c r="T14" i="17"/>
  <c r="T26" i="17" s="1"/>
  <c r="T28" i="17" s="1"/>
  <c r="T30" i="17" s="1"/>
  <c r="AI14" i="17"/>
  <c r="AS28" i="17"/>
  <c r="AS30" i="17" s="1"/>
  <c r="AH28" i="17"/>
  <c r="AH30" i="17" s="1"/>
  <c r="BA6" i="17"/>
  <c r="H14" i="17"/>
  <c r="H26" i="17"/>
  <c r="H28" i="17" s="1"/>
  <c r="H30" i="17"/>
  <c r="AB14" i="17"/>
  <c r="AD14" i="17"/>
  <c r="P26" i="17"/>
  <c r="P37" i="17" s="1"/>
  <c r="P39" i="17" s="1"/>
  <c r="AV14" i="17"/>
  <c r="I14" i="17"/>
  <c r="I26" i="17" s="1"/>
  <c r="T37" i="17"/>
  <c r="T39" i="17" s="1"/>
  <c r="I28" i="17"/>
  <c r="I30" i="17" s="1"/>
  <c r="I37" i="17"/>
  <c r="I39" i="17" s="1"/>
  <c r="G14" i="17"/>
  <c r="G26" i="17" s="1"/>
  <c r="G28" i="17" s="1"/>
  <c r="G30" i="17" s="1"/>
  <c r="J26" i="17"/>
  <c r="J37" i="17" s="1"/>
  <c r="J39" i="17" s="1"/>
  <c r="AT26" i="17"/>
  <c r="N14" i="17"/>
  <c r="N26" i="17" s="1"/>
  <c r="Q14" i="17"/>
  <c r="Q26" i="17" s="1"/>
  <c r="Z26" i="17"/>
  <c r="Z37" i="17" s="1"/>
  <c r="Z39" i="17" s="1"/>
  <c r="AR14" i="17"/>
  <c r="AR26" i="17"/>
  <c r="AV26" i="17"/>
  <c r="O14" i="17"/>
  <c r="O26" i="17" s="1"/>
  <c r="S14" i="17"/>
  <c r="X14" i="17"/>
  <c r="X26" i="17" s="1"/>
  <c r="AN26" i="17"/>
  <c r="AM26" i="17"/>
  <c r="BD6" i="17"/>
  <c r="BC6" i="17"/>
  <c r="Z28" i="17"/>
  <c r="Z30" i="17" s="1"/>
  <c r="AJ26" i="17"/>
  <c r="AB26" i="17"/>
  <c r="AK14" i="17"/>
  <c r="AK26" i="17" s="1"/>
  <c r="H37" i="17"/>
  <c r="H39" i="17" s="1"/>
  <c r="AC28" i="17"/>
  <c r="AC30" i="17" s="1"/>
  <c r="AV37" i="17"/>
  <c r="AV39" i="17" s="1"/>
  <c r="AV28" i="17"/>
  <c r="AV30" i="17" s="1"/>
  <c r="N28" i="17"/>
  <c r="N30" i="17" s="1"/>
  <c r="N37" i="17"/>
  <c r="N39" i="17" s="1"/>
  <c r="AT37" i="17"/>
  <c r="AT39" i="17" s="1"/>
  <c r="AT28" i="17"/>
  <c r="AT30" i="17" s="1"/>
  <c r="AR37" i="17"/>
  <c r="AR39" i="17" s="1"/>
  <c r="AR28" i="17"/>
  <c r="AR30" i="17" s="1"/>
  <c r="D28" i="17"/>
  <c r="D30" i="17" s="1"/>
  <c r="D37" i="17"/>
  <c r="D39" i="17" s="1"/>
  <c r="Q37" i="17"/>
  <c r="Q39" i="17"/>
  <c r="Q28" i="17"/>
  <c r="Q30" i="17" s="1"/>
  <c r="L37" i="17"/>
  <c r="L39" i="17"/>
  <c r="B37" i="17"/>
  <c r="B39" i="17" s="1"/>
  <c r="AB28" i="17"/>
  <c r="AB30" i="17"/>
  <c r="AB37" i="17"/>
  <c r="AB39" i="17" s="1"/>
  <c r="V37" i="17"/>
  <c r="V39" i="17"/>
  <c r="AK37" i="17"/>
  <c r="AK39" i="17" s="1"/>
  <c r="AK28" i="17"/>
  <c r="AK30" i="17"/>
  <c r="BB3" i="17"/>
  <c r="BC3" i="17" s="1"/>
  <c r="BD3" i="17" s="1"/>
  <c r="X28" i="17"/>
  <c r="X30" i="17"/>
  <c r="X37" i="17"/>
  <c r="X39" i="17" s="1"/>
  <c r="E37" i="17"/>
  <c r="E39" i="17" s="1"/>
  <c r="L30" i="17"/>
  <c r="L32" i="17" s="1"/>
  <c r="L34" i="17" s="1"/>
  <c r="B30" i="17"/>
  <c r="B32" i="17"/>
  <c r="B34" i="17" s="1"/>
  <c r="V30" i="17"/>
  <c r="V32" i="17"/>
  <c r="V34" i="17" s="1"/>
  <c r="C32" i="29"/>
  <c r="B59" i="29"/>
  <c r="H97" i="29"/>
  <c r="I97" i="29" s="1"/>
  <c r="J11" i="29"/>
  <c r="E32" i="29" s="1"/>
  <c r="F32" i="29" s="1"/>
  <c r="C33" i="29"/>
  <c r="C34" i="29"/>
  <c r="B61" i="29" s="1"/>
  <c r="C35" i="29"/>
  <c r="B62" i="29" s="1"/>
  <c r="C36" i="29"/>
  <c r="B63" i="29" s="1"/>
  <c r="A37" i="29"/>
  <c r="A38" i="29"/>
  <c r="F22" i="29"/>
  <c r="F23" i="29" s="1"/>
  <c r="C20" i="29"/>
  <c r="E38" i="29"/>
  <c r="E93" i="29"/>
  <c r="B60" i="29"/>
  <c r="A39" i="29"/>
  <c r="A40" i="29" s="1"/>
  <c r="E40" i="29" s="1"/>
  <c r="E36" i="29"/>
  <c r="F36" i="29" s="1"/>
  <c r="E37" i="29"/>
  <c r="E33" i="29"/>
  <c r="F33" i="29" s="1"/>
  <c r="C10" i="28"/>
  <c r="C10" i="29" s="1"/>
  <c r="B14" i="29" s="1"/>
  <c r="E81" i="29"/>
  <c r="C20" i="37"/>
  <c r="C24" i="37"/>
  <c r="C26" i="37" s="1"/>
  <c r="D20" i="37"/>
  <c r="D24" i="37"/>
  <c r="D26" i="37" s="1"/>
  <c r="E20" i="37"/>
  <c r="E24" i="37" s="1"/>
  <c r="F20" i="37"/>
  <c r="C23" i="37"/>
  <c r="C25" i="37" s="1"/>
  <c r="D23" i="37"/>
  <c r="D25" i="37"/>
  <c r="E23" i="37"/>
  <c r="F23" i="37"/>
  <c r="F24" i="37"/>
  <c r="F26" i="37" s="1"/>
  <c r="F25" i="37"/>
  <c r="B23" i="37"/>
  <c r="B25" i="37" s="1"/>
  <c r="B20" i="37"/>
  <c r="B24" i="37" s="1"/>
  <c r="B26" i="37" s="1"/>
  <c r="C113" i="37"/>
  <c r="D113" i="37"/>
  <c r="E113" i="37"/>
  <c r="F113" i="37"/>
  <c r="B113" i="37"/>
  <c r="B91" i="37"/>
  <c r="C85" i="37"/>
  <c r="D85" i="37"/>
  <c r="E85" i="37"/>
  <c r="F85" i="37"/>
  <c r="B85" i="37"/>
  <c r="B62" i="37"/>
  <c r="B56" i="37"/>
  <c r="B33" i="37"/>
  <c r="C11" i="37"/>
  <c r="B11" i="37"/>
  <c r="C91" i="37"/>
  <c r="C33" i="37"/>
  <c r="C62" i="37"/>
  <c r="D62" i="37"/>
  <c r="D91" i="37"/>
  <c r="E33" i="37"/>
  <c r="E25" i="37"/>
  <c r="D33" i="37"/>
  <c r="D11" i="37"/>
  <c r="E91" i="37"/>
  <c r="E11" i="37"/>
  <c r="E62" i="37"/>
  <c r="F91" i="37"/>
  <c r="F33" i="37"/>
  <c r="F11" i="37"/>
  <c r="F62" i="37"/>
  <c r="B29" i="18"/>
  <c r="G29" i="18" s="1"/>
  <c r="C11" i="18"/>
  <c r="D11" i="18"/>
  <c r="E11" i="18"/>
  <c r="F11" i="18"/>
  <c r="B11" i="18"/>
  <c r="B12" i="18"/>
  <c r="A11" i="18"/>
  <c r="G70" i="18"/>
  <c r="F70" i="18"/>
  <c r="C13" i="18"/>
  <c r="D13" i="18"/>
  <c r="E13" i="18"/>
  <c r="F13" i="18"/>
  <c r="C14" i="18"/>
  <c r="D14" i="18"/>
  <c r="E14" i="18"/>
  <c r="F14" i="18"/>
  <c r="C15" i="18"/>
  <c r="D15" i="18"/>
  <c r="E15" i="18"/>
  <c r="F15" i="18"/>
  <c r="C16" i="18"/>
  <c r="D16" i="18"/>
  <c r="E16" i="18"/>
  <c r="F16" i="18"/>
  <c r="C17" i="18"/>
  <c r="D17" i="18"/>
  <c r="E17" i="18"/>
  <c r="F17" i="18"/>
  <c r="C18" i="18"/>
  <c r="D18" i="18"/>
  <c r="E18" i="18"/>
  <c r="F18" i="18"/>
  <c r="C19" i="18"/>
  <c r="D19" i="18"/>
  <c r="E19" i="18"/>
  <c r="F19" i="18"/>
  <c r="B13" i="18"/>
  <c r="B14" i="18"/>
  <c r="B15" i="18"/>
  <c r="B16" i="18"/>
  <c r="B17" i="18"/>
  <c r="B18" i="18"/>
  <c r="B19" i="18"/>
  <c r="A19" i="18"/>
  <c r="A18" i="18"/>
  <c r="A17" i="18"/>
  <c r="A16" i="18"/>
  <c r="A15" i="18"/>
  <c r="A14" i="18"/>
  <c r="A13" i="18"/>
  <c r="C53" i="18"/>
  <c r="D53" i="18"/>
  <c r="E53" i="18"/>
  <c r="F53" i="18"/>
  <c r="B53" i="18"/>
  <c r="B52" i="18"/>
  <c r="I52" i="18"/>
  <c r="C52" i="18"/>
  <c r="D52" i="18"/>
  <c r="E52" i="18"/>
  <c r="F52" i="18"/>
  <c r="I49" i="18"/>
  <c r="C21" i="18"/>
  <c r="D21" i="18"/>
  <c r="E21" i="18"/>
  <c r="F21" i="18"/>
  <c r="C22" i="18"/>
  <c r="D22" i="18"/>
  <c r="E22" i="18"/>
  <c r="F22" i="18"/>
  <c r="C23" i="18"/>
  <c r="D23" i="18"/>
  <c r="E23" i="18"/>
  <c r="F23" i="18"/>
  <c r="C24" i="18"/>
  <c r="D24" i="18"/>
  <c r="E24" i="18"/>
  <c r="F24" i="18"/>
  <c r="C25" i="18"/>
  <c r="D25" i="18"/>
  <c r="E25" i="18"/>
  <c r="F25" i="18"/>
  <c r="C26" i="18"/>
  <c r="D26" i="18"/>
  <c r="E26" i="18"/>
  <c r="F26" i="18"/>
  <c r="C27" i="18"/>
  <c r="D27" i="18"/>
  <c r="E27" i="18"/>
  <c r="F27" i="18"/>
  <c r="C28" i="18"/>
  <c r="D28" i="18"/>
  <c r="E28" i="18"/>
  <c r="F28" i="18"/>
  <c r="B22" i="18"/>
  <c r="B23" i="18"/>
  <c r="B24" i="18"/>
  <c r="B25" i="18"/>
  <c r="B26" i="18"/>
  <c r="B27" i="18"/>
  <c r="B28" i="18"/>
  <c r="B21" i="18"/>
  <c r="C12" i="18"/>
  <c r="D12" i="18"/>
  <c r="E12" i="18"/>
  <c r="F12" i="18"/>
  <c r="A22" i="18"/>
  <c r="A23" i="18"/>
  <c r="A24" i="18"/>
  <c r="A25" i="18"/>
  <c r="A26" i="18"/>
  <c r="A27" i="18"/>
  <c r="A28" i="18"/>
  <c r="A21" i="18"/>
  <c r="A12" i="18"/>
  <c r="B6" i="18"/>
  <c r="C6" i="18" s="1"/>
  <c r="D6" i="18" s="1"/>
  <c r="E6" i="18" s="1"/>
  <c r="F6" i="18" s="1"/>
  <c r="G6" i="18" s="1"/>
  <c r="E9" i="18"/>
  <c r="D9" i="18"/>
  <c r="B9" i="18"/>
  <c r="F9" i="18"/>
  <c r="C9" i="18"/>
  <c r="C10" i="18" s="1"/>
  <c r="C30" i="18" s="1"/>
  <c r="B49" i="18"/>
  <c r="C49" i="18" s="1"/>
  <c r="D49" i="18" s="1"/>
  <c r="E49" i="18" s="1"/>
  <c r="F49" i="18" s="1"/>
  <c r="G49" i="18" s="1"/>
  <c r="D29" i="18"/>
  <c r="E29" i="18"/>
  <c r="C29" i="18"/>
  <c r="F29" i="18"/>
  <c r="I51" i="18"/>
  <c r="I55" i="18" s="1"/>
  <c r="G53" i="18"/>
  <c r="G11" i="18"/>
  <c r="G34" i="18"/>
  <c r="B34" i="18"/>
  <c r="F35" i="18"/>
  <c r="B7" i="18"/>
  <c r="B58" i="18" s="1"/>
  <c r="C7" i="18"/>
  <c r="C58" i="18" s="1"/>
  <c r="D7" i="18"/>
  <c r="D58" i="18" s="1"/>
  <c r="D10" i="18"/>
  <c r="D30" i="18" s="1"/>
  <c r="B35" i="18"/>
  <c r="C35" i="18"/>
  <c r="D35" i="18"/>
  <c r="E35" i="18"/>
  <c r="F157" i="35"/>
  <c r="F160" i="35" s="1"/>
  <c r="G60" i="35"/>
  <c r="G121" i="35" s="1"/>
  <c r="G19" i="18" s="1"/>
  <c r="D25" i="35"/>
  <c r="E25" i="35"/>
  <c r="J12" i="34"/>
  <c r="J7" i="34"/>
  <c r="K13" i="34"/>
  <c r="B7" i="34" s="1"/>
  <c r="D7" i="34" s="1"/>
  <c r="D12" i="34" s="1"/>
  <c r="G44" i="35" s="1"/>
  <c r="D8" i="34"/>
  <c r="D9" i="34"/>
  <c r="D10" i="34"/>
  <c r="D11" i="34"/>
  <c r="F79" i="35"/>
  <c r="F80" i="35"/>
  <c r="B80" i="35"/>
  <c r="C80" i="35"/>
  <c r="D80" i="35"/>
  <c r="E80" i="35"/>
  <c r="G80" i="35" s="1"/>
  <c r="D15" i="35"/>
  <c r="E15" i="35"/>
  <c r="B16" i="35"/>
  <c r="C16" i="35"/>
  <c r="E16" i="35"/>
  <c r="D17" i="35"/>
  <c r="E17" i="35"/>
  <c r="F17" i="35"/>
  <c r="F91" i="35"/>
  <c r="F94" i="35"/>
  <c r="B61" i="23"/>
  <c r="B63" i="23"/>
  <c r="C10" i="23"/>
  <c r="E81" i="23"/>
  <c r="B60" i="23"/>
  <c r="I97" i="23"/>
  <c r="J7" i="23"/>
  <c r="E93" i="23"/>
  <c r="B14" i="23"/>
  <c r="B32" i="23" s="1"/>
  <c r="A59" i="23" s="1"/>
  <c r="B31" i="23"/>
  <c r="B62" i="23"/>
  <c r="C10" i="24"/>
  <c r="E81" i="24" s="1"/>
  <c r="B60" i="24"/>
  <c r="B61" i="24"/>
  <c r="I97" i="24"/>
  <c r="J7" i="24"/>
  <c r="E93" i="24" s="1"/>
  <c r="B62" i="24"/>
  <c r="B63" i="24"/>
  <c r="B63" i="25"/>
  <c r="B60" i="25"/>
  <c r="B61" i="25"/>
  <c r="I97" i="25"/>
  <c r="B62" i="25"/>
  <c r="C10" i="25"/>
  <c r="B14" i="25"/>
  <c r="B64" i="25"/>
  <c r="B65" i="25"/>
  <c r="B61" i="26"/>
  <c r="B60" i="26"/>
  <c r="B63" i="26"/>
  <c r="B62" i="26"/>
  <c r="C10" i="26"/>
  <c r="B31" i="26" s="1"/>
  <c r="I97" i="26"/>
  <c r="E81" i="26"/>
  <c r="B14" i="26"/>
  <c r="B32" i="26" s="1"/>
  <c r="A59" i="26" s="1"/>
  <c r="B15" i="26"/>
  <c r="B60" i="27"/>
  <c r="B62" i="27"/>
  <c r="B61" i="27"/>
  <c r="B63" i="27"/>
  <c r="I97" i="27"/>
  <c r="C10" i="27"/>
  <c r="B60" i="28"/>
  <c r="B59" i="28"/>
  <c r="H97" i="28"/>
  <c r="I97" i="28" s="1"/>
  <c r="B61" i="28"/>
  <c r="E93" i="28"/>
  <c r="B63" i="28"/>
  <c r="B62" i="28"/>
  <c r="B66" i="28"/>
  <c r="E81" i="28"/>
  <c r="B31" i="28"/>
  <c r="B14" i="28"/>
  <c r="B52" i="30"/>
  <c r="C52" i="30"/>
  <c r="D12" i="21"/>
  <c r="J12" i="21"/>
  <c r="J8" i="21"/>
  <c r="K12" i="21"/>
  <c r="K13" i="21" s="1"/>
  <c r="K8" i="21"/>
  <c r="K7" i="21"/>
  <c r="K9" i="21" s="1"/>
  <c r="K10" i="21"/>
  <c r="L12" i="21"/>
  <c r="L13" i="21" s="1"/>
  <c r="L8" i="21"/>
  <c r="M12" i="21"/>
  <c r="M13" i="21" s="1"/>
  <c r="M8" i="21"/>
  <c r="M7" i="21"/>
  <c r="M9" i="21" s="1"/>
  <c r="M10" i="21"/>
  <c r="I12" i="21"/>
  <c r="I8" i="21"/>
  <c r="N10" i="21"/>
  <c r="L10" i="21"/>
  <c r="J10" i="21"/>
  <c r="I10" i="21"/>
  <c r="E13" i="21"/>
  <c r="J7" i="21"/>
  <c r="J9" i="21"/>
  <c r="J11" i="21" s="1"/>
  <c r="L7" i="21"/>
  <c r="L9" i="21" s="1"/>
  <c r="L11" i="21" s="1"/>
  <c r="N7" i="21"/>
  <c r="I7" i="21"/>
  <c r="N12" i="21"/>
  <c r="C11" i="21"/>
  <c r="C12" i="21" s="1"/>
  <c r="B12" i="21" s="1"/>
  <c r="I9" i="21"/>
  <c r="I13" i="21"/>
  <c r="E16" i="21" s="1"/>
  <c r="J13" i="21"/>
  <c r="C15" i="21"/>
  <c r="G61" i="5"/>
  <c r="G62" i="5"/>
  <c r="G63" i="5"/>
  <c r="G65" i="5"/>
  <c r="G66" i="5"/>
  <c r="G67" i="5"/>
  <c r="B69" i="35"/>
  <c r="C69" i="35"/>
  <c r="D69" i="35"/>
  <c r="E69" i="35"/>
  <c r="F69" i="35"/>
  <c r="H25" i="19"/>
  <c r="H18" i="19"/>
  <c r="H36" i="19"/>
  <c r="H40" i="19" s="1"/>
  <c r="F103" i="35"/>
  <c r="G157" i="35"/>
  <c r="G160" i="35" s="1"/>
  <c r="G103" i="35" s="1"/>
  <c r="F104" i="35"/>
  <c r="G163" i="35"/>
  <c r="B105" i="35"/>
  <c r="C105" i="35"/>
  <c r="D105" i="35"/>
  <c r="E105" i="35"/>
  <c r="I36" i="19"/>
  <c r="I39" i="19"/>
  <c r="I40" i="19"/>
  <c r="J14" i="19"/>
  <c r="J36" i="19"/>
  <c r="J39" i="19"/>
  <c r="J40" i="19"/>
  <c r="K14" i="19"/>
  <c r="J16" i="19"/>
  <c r="K16" i="19" s="1"/>
  <c r="L16" i="19" s="1"/>
  <c r="M16" i="19" s="1"/>
  <c r="J17" i="19"/>
  <c r="K36" i="19"/>
  <c r="K40" i="19" s="1"/>
  <c r="K39" i="19"/>
  <c r="L14" i="19"/>
  <c r="K17" i="19"/>
  <c r="L17" i="19" s="1"/>
  <c r="M17" i="19" s="1"/>
  <c r="L36" i="19"/>
  <c r="L39" i="19"/>
  <c r="L40" i="19"/>
  <c r="M14" i="19"/>
  <c r="M36" i="19"/>
  <c r="C17" i="31"/>
  <c r="D17" i="31"/>
  <c r="D21" i="31" s="1"/>
  <c r="E17" i="31"/>
  <c r="F17" i="31"/>
  <c r="F22" i="31" s="1"/>
  <c r="B17" i="31"/>
  <c r="B10" i="31"/>
  <c r="B20" i="31"/>
  <c r="D20" i="31"/>
  <c r="C22" i="31"/>
  <c r="D23" i="31"/>
  <c r="C20" i="31"/>
  <c r="C24" i="31" s="1"/>
  <c r="C23" i="31"/>
  <c r="C21" i="31"/>
  <c r="C10" i="31"/>
  <c r="F20" i="31"/>
  <c r="E10" i="31"/>
  <c r="D10" i="31"/>
  <c r="F10" i="31"/>
  <c r="B86" i="35"/>
  <c r="G86" i="35" s="1"/>
  <c r="C86" i="35"/>
  <c r="D86" i="35"/>
  <c r="E86" i="35"/>
  <c r="F86" i="35"/>
  <c r="A16" i="35"/>
  <c r="A17" i="35"/>
  <c r="F101" i="35"/>
  <c r="B120" i="35"/>
  <c r="C120" i="35"/>
  <c r="D120" i="35"/>
  <c r="E120" i="35"/>
  <c r="F120" i="35"/>
  <c r="B30" i="35"/>
  <c r="C30" i="35"/>
  <c r="D30" i="35"/>
  <c r="E30" i="35"/>
  <c r="F30" i="35"/>
  <c r="B91" i="35"/>
  <c r="B27" i="35"/>
  <c r="C91" i="35"/>
  <c r="C27" i="35"/>
  <c r="D91" i="35"/>
  <c r="D27" i="35"/>
  <c r="E91" i="35"/>
  <c r="E27" i="35"/>
  <c r="F27" i="35"/>
  <c r="G27" i="35"/>
  <c r="B94" i="35"/>
  <c r="C94" i="35"/>
  <c r="D94" i="35"/>
  <c r="E94" i="35"/>
  <c r="F122" i="35"/>
  <c r="A120" i="35"/>
  <c r="G176" i="35"/>
  <c r="F176" i="35"/>
  <c r="D121" i="35"/>
  <c r="E121" i="35"/>
  <c r="F121" i="35"/>
  <c r="C121" i="35"/>
  <c r="B121" i="35"/>
  <c r="C60" i="35"/>
  <c r="F60" i="35"/>
  <c r="A60" i="35"/>
  <c r="A30" i="35"/>
  <c r="A19" i="35"/>
  <c r="A37" i="35"/>
  <c r="A38" i="35"/>
  <c r="A26" i="35"/>
  <c r="A35" i="35"/>
  <c r="A34" i="35"/>
  <c r="A33" i="35"/>
  <c r="A32" i="35"/>
  <c r="A25" i="35"/>
  <c r="A24" i="35"/>
  <c r="A15" i="35"/>
  <c r="A14" i="35"/>
  <c r="A13" i="35"/>
  <c r="B122" i="35"/>
  <c r="C137" i="35"/>
  <c r="D137" i="35"/>
  <c r="E137" i="35"/>
  <c r="F137" i="35"/>
  <c r="B137" i="35"/>
  <c r="A137" i="35"/>
  <c r="C134" i="35"/>
  <c r="D134" i="35"/>
  <c r="E134" i="35"/>
  <c r="E136" i="35" s="1"/>
  <c r="F134" i="35"/>
  <c r="B134" i="35"/>
  <c r="C132" i="35"/>
  <c r="D132" i="35"/>
  <c r="E132" i="35"/>
  <c r="B132" i="35"/>
  <c r="F126" i="35"/>
  <c r="F127" i="35"/>
  <c r="F129" i="35" s="1"/>
  <c r="F128" i="35"/>
  <c r="E126" i="35"/>
  <c r="E127" i="35"/>
  <c r="E128" i="35"/>
  <c r="E129" i="35" s="1"/>
  <c r="D126" i="35"/>
  <c r="D127" i="35"/>
  <c r="D128" i="35"/>
  <c r="C126" i="35"/>
  <c r="C129" i="35" s="1"/>
  <c r="C127" i="35"/>
  <c r="C128" i="35"/>
  <c r="B127" i="35"/>
  <c r="B126" i="35"/>
  <c r="C133" i="35"/>
  <c r="D133" i="35"/>
  <c r="E133" i="35"/>
  <c r="F133" i="35"/>
  <c r="C135" i="35"/>
  <c r="D135" i="35"/>
  <c r="E135" i="35"/>
  <c r="F135" i="35"/>
  <c r="B128" i="35"/>
  <c r="B133" i="35"/>
  <c r="B135" i="35"/>
  <c r="A141" i="35"/>
  <c r="A136" i="35"/>
  <c r="A139" i="35"/>
  <c r="A140" i="35"/>
  <c r="A117" i="35"/>
  <c r="A118" i="35"/>
  <c r="A119" i="35"/>
  <c r="A125" i="35"/>
  <c r="A129" i="35"/>
  <c r="A131" i="35"/>
  <c r="A133" i="35"/>
  <c r="A107" i="35"/>
  <c r="A109" i="35"/>
  <c r="A104" i="35"/>
  <c r="A75" i="35"/>
  <c r="A76" i="35"/>
  <c r="A77" i="35"/>
  <c r="A78" i="35"/>
  <c r="A79" i="35"/>
  <c r="A81" i="35"/>
  <c r="A82" i="35"/>
  <c r="A83" i="35"/>
  <c r="A84" i="35"/>
  <c r="A87" i="35"/>
  <c r="A88" i="35"/>
  <c r="A89" i="35"/>
  <c r="A91" i="35"/>
  <c r="A92" i="35"/>
  <c r="A95" i="35"/>
  <c r="A97" i="35"/>
  <c r="A99" i="35"/>
  <c r="A100" i="35"/>
  <c r="A69" i="35"/>
  <c r="A70" i="35"/>
  <c r="A68" i="35"/>
  <c r="A67" i="35"/>
  <c r="A66" i="35"/>
  <c r="A65" i="35"/>
  <c r="A64" i="35"/>
  <c r="A61" i="35"/>
  <c r="A62" i="35"/>
  <c r="A63" i="35"/>
  <c r="A59" i="35"/>
  <c r="A58" i="35"/>
  <c r="A55" i="35"/>
  <c r="A56" i="35"/>
  <c r="A57" i="35"/>
  <c r="A52" i="35"/>
  <c r="A53" i="35"/>
  <c r="A54" i="35"/>
  <c r="A49" i="35"/>
  <c r="A50" i="35"/>
  <c r="A51" i="35"/>
  <c r="A48" i="35"/>
  <c r="A47" i="35"/>
  <c r="A45" i="35"/>
  <c r="A46" i="35"/>
  <c r="A44" i="35"/>
  <c r="D52" i="35"/>
  <c r="B140" i="35"/>
  <c r="E119" i="35"/>
  <c r="D57" i="35"/>
  <c r="C63" i="35"/>
  <c r="C57" i="35"/>
  <c r="F98" i="35"/>
  <c r="E77" i="35"/>
  <c r="D104" i="35"/>
  <c r="B57" i="35"/>
  <c r="F52" i="35"/>
  <c r="C96" i="35"/>
  <c r="B75" i="35"/>
  <c r="F63" i="35"/>
  <c r="C61" i="35"/>
  <c r="E63" i="35"/>
  <c r="F62" i="35"/>
  <c r="D62" i="35"/>
  <c r="B63" i="35"/>
  <c r="E49" i="35"/>
  <c r="D63" i="35"/>
  <c r="E62" i="35"/>
  <c r="C49" i="35"/>
  <c r="F57" i="35"/>
  <c r="F58" i="35"/>
  <c r="F59" i="35"/>
  <c r="E57" i="35"/>
  <c r="E59" i="35"/>
  <c r="D59" i="35"/>
  <c r="D58" i="35"/>
  <c r="C58" i="35"/>
  <c r="B59" i="35"/>
  <c r="B119" i="35"/>
  <c r="D119" i="35"/>
  <c r="F119" i="35"/>
  <c r="C119" i="35"/>
  <c r="C77" i="35"/>
  <c r="F76" i="35"/>
  <c r="E50" i="35"/>
  <c r="E104" i="35"/>
  <c r="F64" i="35"/>
  <c r="D77" i="35"/>
  <c r="D76" i="35"/>
  <c r="B45" i="35"/>
  <c r="B104" i="35"/>
  <c r="E45" i="35"/>
  <c r="B62" i="35"/>
  <c r="C62" i="35"/>
  <c r="E52" i="35"/>
  <c r="B49" i="35"/>
  <c r="F49" i="35"/>
  <c r="B61" i="35"/>
  <c r="C59" i="35"/>
  <c r="E85" i="35"/>
  <c r="C103" i="35"/>
  <c r="C106" i="35" s="1"/>
  <c r="C104" i="35"/>
  <c r="C50" i="35"/>
  <c r="D85" i="35"/>
  <c r="B44" i="35"/>
  <c r="B46" i="35"/>
  <c r="C85" i="35"/>
  <c r="D49" i="35"/>
  <c r="B64" i="35"/>
  <c r="D93" i="35"/>
  <c r="E83" i="35"/>
  <c r="D96" i="35"/>
  <c r="C44" i="35"/>
  <c r="D44" i="35"/>
  <c r="D28" i="35" s="1"/>
  <c r="B98" i="35"/>
  <c r="B50" i="35"/>
  <c r="E96" i="35"/>
  <c r="D79" i="35"/>
  <c r="F77" i="35"/>
  <c r="E60" i="35"/>
  <c r="F50" i="35"/>
  <c r="C93" i="35"/>
  <c r="D50" i="35"/>
  <c r="E61" i="35"/>
  <c r="D60" i="35"/>
  <c r="D103" i="35"/>
  <c r="D106" i="35"/>
  <c r="C75" i="35"/>
  <c r="E101" i="35"/>
  <c r="B28" i="35"/>
  <c r="C116" i="35"/>
  <c r="E98" i="35"/>
  <c r="C98" i="35"/>
  <c r="E93" i="35"/>
  <c r="F44" i="35"/>
  <c r="C10" i="35"/>
  <c r="B103" i="35"/>
  <c r="B106" i="35"/>
  <c r="E64" i="35"/>
  <c r="E58" i="35"/>
  <c r="D122" i="35"/>
  <c r="D98" i="35"/>
  <c r="C52" i="35"/>
  <c r="D61" i="35"/>
  <c r="D64" i="35"/>
  <c r="F85" i="35"/>
  <c r="B96" i="35"/>
  <c r="D136" i="35"/>
  <c r="C136" i="35"/>
  <c r="B136" i="35"/>
  <c r="D129" i="35"/>
  <c r="B129" i="35"/>
  <c r="E122" i="35"/>
  <c r="F132" i="35"/>
  <c r="B93" i="35"/>
  <c r="B76" i="35"/>
  <c r="C122" i="35"/>
  <c r="B10" i="35"/>
  <c r="B58" i="35"/>
  <c r="C64" i="35"/>
  <c r="B52" i="35"/>
  <c r="D45" i="35"/>
  <c r="D46" i="35"/>
  <c r="D75" i="35"/>
  <c r="D83" i="35"/>
  <c r="B85" i="35"/>
  <c r="C83" i="35"/>
  <c r="C79" i="35"/>
  <c r="F61" i="35"/>
  <c r="B83" i="35"/>
  <c r="E103" i="35"/>
  <c r="E106" i="35" s="1"/>
  <c r="G134" i="35"/>
  <c r="E76" i="35"/>
  <c r="B43" i="35"/>
  <c r="E79" i="35"/>
  <c r="F83" i="35"/>
  <c r="G152" i="35" s="1"/>
  <c r="B60" i="35"/>
  <c r="C78" i="35"/>
  <c r="C45" i="35"/>
  <c r="E44" i="35"/>
  <c r="B78" i="35"/>
  <c r="F45" i="35"/>
  <c r="C43" i="35"/>
  <c r="E75" i="35"/>
  <c r="C76" i="35"/>
  <c r="C81" i="35" s="1"/>
  <c r="D116" i="35"/>
  <c r="D10" i="35"/>
  <c r="B79" i="35"/>
  <c r="E46" i="35"/>
  <c r="E28" i="35"/>
  <c r="D43" i="35"/>
  <c r="E43" i="35"/>
  <c r="F43" i="35"/>
  <c r="G43" i="35" s="1"/>
  <c r="C25" i="35"/>
  <c r="B13" i="35"/>
  <c r="C13" i="35"/>
  <c r="D13" i="35"/>
  <c r="E13" i="35"/>
  <c r="D11" i="35"/>
  <c r="B11" i="35"/>
  <c r="C11" i="35"/>
  <c r="E11" i="35"/>
  <c r="C117" i="35"/>
  <c r="C123" i="35" s="1"/>
  <c r="B117" i="35"/>
  <c r="B123" i="35" s="1"/>
  <c r="D117" i="35"/>
  <c r="D123" i="35" s="1"/>
  <c r="F48" i="35"/>
  <c r="F13" i="35"/>
  <c r="F11" i="35"/>
  <c r="F12" i="35"/>
  <c r="C75" i="5"/>
  <c r="C144" i="5"/>
  <c r="B13" i="5"/>
  <c r="B15" i="5"/>
  <c r="B16" i="5"/>
  <c r="B17" i="5"/>
  <c r="B24" i="5" s="1"/>
  <c r="B34" i="5" s="1"/>
  <c r="B18" i="5"/>
  <c r="B19" i="5"/>
  <c r="B20" i="5"/>
  <c r="B21" i="5"/>
  <c r="B22" i="5"/>
  <c r="B23" i="5"/>
  <c r="B26" i="5"/>
  <c r="B33" i="5" s="1"/>
  <c r="B27" i="5"/>
  <c r="B28" i="5"/>
  <c r="B29" i="5"/>
  <c r="B30" i="5"/>
  <c r="B31" i="5"/>
  <c r="B32" i="5"/>
  <c r="C13" i="5"/>
  <c r="C203" i="5"/>
  <c r="C15" i="5"/>
  <c r="C16" i="5"/>
  <c r="C17" i="5"/>
  <c r="C18" i="5"/>
  <c r="C20" i="5"/>
  <c r="C21" i="5"/>
  <c r="C22" i="5"/>
  <c r="C23" i="5"/>
  <c r="C26" i="5"/>
  <c r="C28" i="5"/>
  <c r="C29" i="5"/>
  <c r="C30" i="5"/>
  <c r="C31" i="5"/>
  <c r="C32" i="5"/>
  <c r="D75" i="5"/>
  <c r="D144" i="5"/>
  <c r="D13" i="5"/>
  <c r="D203" i="5"/>
  <c r="D15" i="5"/>
  <c r="D16" i="5"/>
  <c r="D17" i="5"/>
  <c r="D18" i="5"/>
  <c r="D20" i="5"/>
  <c r="D21" i="5"/>
  <c r="D22" i="5"/>
  <c r="D23" i="5"/>
  <c r="D26" i="5"/>
  <c r="D28" i="5"/>
  <c r="D29" i="5"/>
  <c r="D30" i="5"/>
  <c r="D31" i="5"/>
  <c r="D32" i="5"/>
  <c r="E75" i="5"/>
  <c r="E144" i="5"/>
  <c r="E13" i="5"/>
  <c r="E203" i="5"/>
  <c r="E16" i="5"/>
  <c r="E17" i="5"/>
  <c r="E18" i="5"/>
  <c r="E20" i="5"/>
  <c r="E21" i="5"/>
  <c r="E22" i="5"/>
  <c r="E23" i="5"/>
  <c r="E26" i="5"/>
  <c r="E28" i="5"/>
  <c r="E29" i="5"/>
  <c r="E30" i="5"/>
  <c r="E31" i="5"/>
  <c r="E32" i="5"/>
  <c r="F75" i="5"/>
  <c r="F144" i="5" s="1"/>
  <c r="F13" i="5"/>
  <c r="F16" i="5"/>
  <c r="F17" i="5"/>
  <c r="F18" i="5"/>
  <c r="F20" i="5"/>
  <c r="F21" i="5"/>
  <c r="F22" i="5"/>
  <c r="F23" i="5"/>
  <c r="F26" i="5"/>
  <c r="F28" i="5"/>
  <c r="F29" i="5"/>
  <c r="F30" i="5"/>
  <c r="F31" i="5"/>
  <c r="F32" i="5"/>
  <c r="G75" i="5"/>
  <c r="G144" i="5"/>
  <c r="G13" i="5"/>
  <c r="G191" i="5"/>
  <c r="G196" i="5" s="1"/>
  <c r="G15" i="5"/>
  <c r="G16" i="5"/>
  <c r="G17" i="5"/>
  <c r="G18" i="5"/>
  <c r="G20" i="5"/>
  <c r="G21" i="5"/>
  <c r="G22" i="5"/>
  <c r="G23" i="5"/>
  <c r="G26" i="5"/>
  <c r="G28" i="5"/>
  <c r="G29" i="5"/>
  <c r="G30" i="5"/>
  <c r="G31" i="5"/>
  <c r="G32" i="5"/>
  <c r="H60" i="19"/>
  <c r="G60" i="19"/>
  <c r="C25" i="19"/>
  <c r="B23" i="19"/>
  <c r="D25" i="19"/>
  <c r="E25" i="19"/>
  <c r="F25" i="19"/>
  <c r="G25" i="19"/>
  <c r="B22" i="19"/>
  <c r="B15" i="19" s="1"/>
  <c r="B20" i="19"/>
  <c r="B14" i="19" s="1"/>
  <c r="H46" i="19"/>
  <c r="B12" i="19"/>
  <c r="C20" i="19"/>
  <c r="C13" i="19"/>
  <c r="D20" i="19"/>
  <c r="E20" i="19"/>
  <c r="E13" i="19" s="1"/>
  <c r="C12" i="19"/>
  <c r="D12" i="19"/>
  <c r="E12" i="19" s="1"/>
  <c r="F12" i="19" s="1"/>
  <c r="G12" i="19" s="1"/>
  <c r="H12" i="19" s="1"/>
  <c r="I12" i="19" s="1"/>
  <c r="J12" i="19" s="1"/>
  <c r="K12" i="19" s="1"/>
  <c r="L12" i="19" s="1"/>
  <c r="G20" i="19"/>
  <c r="N13" i="19"/>
  <c r="D13" i="19"/>
  <c r="F20" i="19"/>
  <c r="B21" i="19"/>
  <c r="G13" i="19"/>
  <c r="F13" i="19"/>
  <c r="B24" i="19"/>
  <c r="C23" i="19"/>
  <c r="E23" i="19"/>
  <c r="D23" i="19"/>
  <c r="F23" i="19"/>
  <c r="G23" i="19"/>
  <c r="B61" i="5"/>
  <c r="B68" i="5" s="1"/>
  <c r="B62" i="5"/>
  <c r="B63" i="5"/>
  <c r="B64" i="5"/>
  <c r="B65" i="5"/>
  <c r="B66" i="5"/>
  <c r="B67" i="5"/>
  <c r="C61" i="5"/>
  <c r="C68" i="5" s="1"/>
  <c r="C62" i="5"/>
  <c r="C63" i="5"/>
  <c r="C64" i="5"/>
  <c r="C65" i="5"/>
  <c r="C66" i="5"/>
  <c r="C67" i="5"/>
  <c r="F61" i="5"/>
  <c r="F68" i="5" s="1"/>
  <c r="F62" i="5"/>
  <c r="F63" i="5"/>
  <c r="F64" i="5"/>
  <c r="F65" i="5"/>
  <c r="F66" i="5"/>
  <c r="F67" i="5"/>
  <c r="E61" i="5"/>
  <c r="E62" i="5"/>
  <c r="E63" i="5"/>
  <c r="E64" i="5"/>
  <c r="E65" i="5"/>
  <c r="E66" i="5"/>
  <c r="E67" i="5"/>
  <c r="E68" i="5"/>
  <c r="D61" i="5"/>
  <c r="D68" i="5" s="1"/>
  <c r="D62" i="5"/>
  <c r="D63" i="5"/>
  <c r="D64" i="5"/>
  <c r="D65" i="5"/>
  <c r="D66" i="5"/>
  <c r="D67" i="5"/>
  <c r="G42" i="5"/>
  <c r="G46" i="5"/>
  <c r="C46" i="5"/>
  <c r="B88" i="5"/>
  <c r="B108" i="5"/>
  <c r="B91" i="5"/>
  <c r="B109" i="5" s="1"/>
  <c r="B92" i="5"/>
  <c r="B110" i="5"/>
  <c r="B93" i="5"/>
  <c r="B111" i="5" s="1"/>
  <c r="B94" i="5"/>
  <c r="B112" i="5"/>
  <c r="B95" i="5"/>
  <c r="B113" i="5" s="1"/>
  <c r="B98" i="5"/>
  <c r="B100" i="5"/>
  <c r="B116" i="5"/>
  <c r="G218" i="5"/>
  <c r="F218" i="5"/>
  <c r="A91" i="5"/>
  <c r="A109" i="5"/>
  <c r="A75" i="5"/>
  <c r="A76" i="5"/>
  <c r="A77" i="5"/>
  <c r="A78" i="5"/>
  <c r="A79" i="5"/>
  <c r="A80" i="5"/>
  <c r="A81" i="5"/>
  <c r="A82" i="5"/>
  <c r="A83" i="5"/>
  <c r="A84" i="5"/>
  <c r="A85" i="5"/>
  <c r="A86" i="5"/>
  <c r="A88" i="5"/>
  <c r="A108" i="5"/>
  <c r="A89" i="5"/>
  <c r="A90" i="5"/>
  <c r="A92" i="5"/>
  <c r="A110" i="5"/>
  <c r="A93" i="5"/>
  <c r="A111" i="5"/>
  <c r="A94" i="5"/>
  <c r="A112" i="5"/>
  <c r="A95" i="5"/>
  <c r="A113" i="5"/>
  <c r="A96" i="5"/>
  <c r="A97" i="5"/>
  <c r="A98" i="5"/>
  <c r="A99" i="5"/>
  <c r="A100" i="5"/>
  <c r="A101" i="5"/>
  <c r="B151" i="5"/>
  <c r="B152" i="5"/>
  <c r="B153" i="5"/>
  <c r="B154" i="5"/>
  <c r="B150" i="5"/>
  <c r="A154" i="5"/>
  <c r="A153" i="5"/>
  <c r="A152" i="5"/>
  <c r="A151" i="5"/>
  <c r="A150" i="5"/>
  <c r="B161" i="5"/>
  <c r="A161" i="5"/>
  <c r="B160" i="5"/>
  <c r="B165" i="5"/>
  <c r="A165" i="5"/>
  <c r="B159" i="5"/>
  <c r="A163" i="5"/>
  <c r="B163" i="5"/>
  <c r="B158" i="5"/>
  <c r="A162" i="5"/>
  <c r="B162" i="5"/>
  <c r="A164" i="5"/>
  <c r="B164" i="5"/>
  <c r="C126" i="5"/>
  <c r="D126" i="5"/>
  <c r="E126" i="5"/>
  <c r="F126" i="5"/>
  <c r="G126" i="5"/>
  <c r="B126" i="5"/>
  <c r="B90" i="5"/>
  <c r="B122" i="5" s="1"/>
  <c r="B89" i="5"/>
  <c r="B121" i="5"/>
  <c r="B87" i="5"/>
  <c r="B120" i="5" s="1"/>
  <c r="B123" i="5" s="1"/>
  <c r="B125" i="5" s="1"/>
  <c r="B83" i="5"/>
  <c r="B82" i="5"/>
  <c r="B81" i="5"/>
  <c r="B80" i="5"/>
  <c r="B79" i="5"/>
  <c r="B76" i="5"/>
  <c r="B75" i="5"/>
  <c r="B142" i="5" s="1"/>
  <c r="B52" i="5"/>
  <c r="B51" i="5"/>
  <c r="B53" i="5"/>
  <c r="B48" i="5"/>
  <c r="B47" i="5"/>
  <c r="B46" i="5"/>
  <c r="B45" i="5"/>
  <c r="B44" i="5"/>
  <c r="B43" i="5"/>
  <c r="B42" i="5"/>
  <c r="B41" i="5"/>
  <c r="B49" i="5" s="1"/>
  <c r="B54" i="5" s="1"/>
  <c r="G201" i="5"/>
  <c r="F201" i="5"/>
  <c r="A67" i="5"/>
  <c r="A66" i="5"/>
  <c r="A65" i="5"/>
  <c r="A64" i="5"/>
  <c r="A63" i="5"/>
  <c r="A62" i="5"/>
  <c r="A61" i="5"/>
  <c r="A48" i="5"/>
  <c r="A47" i="5"/>
  <c r="A45" i="5"/>
  <c r="A46" i="5"/>
  <c r="A31" i="5"/>
  <c r="A32" i="5"/>
  <c r="A44" i="5"/>
  <c r="A27" i="5"/>
  <c r="A28" i="5"/>
  <c r="A29" i="5"/>
  <c r="A41" i="5"/>
  <c r="A42" i="5"/>
  <c r="A43" i="5"/>
  <c r="A30" i="5"/>
  <c r="A26" i="5"/>
  <c r="A23" i="5"/>
  <c r="A22" i="5"/>
  <c r="A21" i="5"/>
  <c r="A20" i="5"/>
  <c r="A19" i="5"/>
  <c r="A18" i="5"/>
  <c r="A17" i="5"/>
  <c r="A16" i="5"/>
  <c r="A15" i="5"/>
  <c r="A51" i="5"/>
  <c r="A13" i="5"/>
  <c r="G43" i="5"/>
  <c r="F48" i="5"/>
  <c r="F43" i="5"/>
  <c r="E48" i="5"/>
  <c r="D48" i="5"/>
  <c r="C42" i="5"/>
  <c r="C43" i="5"/>
  <c r="D42" i="5"/>
  <c r="G48" i="5"/>
  <c r="F46" i="5"/>
  <c r="D46" i="5"/>
  <c r="E44" i="5"/>
  <c r="E46" i="5"/>
  <c r="B84" i="5"/>
  <c r="A87" i="5"/>
  <c r="G51" i="5"/>
  <c r="B77" i="5"/>
  <c r="D51" i="5"/>
  <c r="D43" i="5"/>
  <c r="E43" i="5"/>
  <c r="E51" i="5"/>
  <c r="D44" i="5"/>
  <c r="G47" i="5"/>
  <c r="E42" i="5"/>
  <c r="C48" i="5"/>
  <c r="C44" i="5"/>
  <c r="F44" i="5"/>
  <c r="G203" i="5"/>
  <c r="G44" i="5"/>
  <c r="F47" i="5"/>
  <c r="F42" i="5"/>
  <c r="B96" i="5"/>
  <c r="F51" i="5"/>
  <c r="C190" i="5"/>
  <c r="D190" i="5" s="1"/>
  <c r="E190" i="5" s="1"/>
  <c r="F190" i="5" s="1"/>
  <c r="G190" i="5" s="1"/>
  <c r="B85" i="5"/>
  <c r="B107" i="5"/>
  <c r="F203" i="5"/>
  <c r="B97" i="5"/>
  <c r="B124" i="5"/>
  <c r="B115" i="5"/>
  <c r="E92" i="5"/>
  <c r="E110" i="5"/>
  <c r="D91" i="5"/>
  <c r="D109" i="5" s="1"/>
  <c r="F93" i="5"/>
  <c r="F111" i="5"/>
  <c r="D92" i="5"/>
  <c r="D110" i="5" s="1"/>
  <c r="F94" i="5"/>
  <c r="F112" i="5"/>
  <c r="C83" i="5"/>
  <c r="G93" i="5"/>
  <c r="G111" i="5"/>
  <c r="F80" i="5"/>
  <c r="E89" i="5"/>
  <c r="E121" i="5" s="1"/>
  <c r="D94" i="5"/>
  <c r="D112" i="5"/>
  <c r="E88" i="5"/>
  <c r="E108" i="5" s="1"/>
  <c r="D88" i="5"/>
  <c r="D108" i="5"/>
  <c r="C90" i="5"/>
  <c r="C122" i="5" s="1"/>
  <c r="G94" i="5"/>
  <c r="G112" i="5"/>
  <c r="D142" i="5"/>
  <c r="C88" i="5"/>
  <c r="C108" i="5"/>
  <c r="G91" i="5"/>
  <c r="G109" i="5"/>
  <c r="E94" i="5"/>
  <c r="E112" i="5"/>
  <c r="E90" i="5"/>
  <c r="E122" i="5"/>
  <c r="G88" i="5"/>
  <c r="G108" i="5"/>
  <c r="E93" i="5"/>
  <c r="E111" i="5"/>
  <c r="F90" i="5"/>
  <c r="F122" i="5"/>
  <c r="G89" i="5"/>
  <c r="G121" i="5"/>
  <c r="D89" i="5"/>
  <c r="D121" i="5"/>
  <c r="F88" i="5"/>
  <c r="F108" i="5"/>
  <c r="F92" i="5"/>
  <c r="F110" i="5"/>
  <c r="C95" i="5"/>
  <c r="C113" i="5" s="1"/>
  <c r="E80" i="5"/>
  <c r="D81" i="5"/>
  <c r="D90" i="5"/>
  <c r="D122" i="5" s="1"/>
  <c r="C92" i="5"/>
  <c r="C110" i="5"/>
  <c r="F83" i="5"/>
  <c r="D93" i="5"/>
  <c r="D111" i="5"/>
  <c r="C100" i="5"/>
  <c r="C116" i="5" s="1"/>
  <c r="C93" i="5"/>
  <c r="C111" i="5"/>
  <c r="E91" i="5"/>
  <c r="E109" i="5" s="1"/>
  <c r="F91" i="5"/>
  <c r="F109" i="5"/>
  <c r="C81" i="5"/>
  <c r="E95" i="5"/>
  <c r="E113" i="5"/>
  <c r="G95" i="5"/>
  <c r="G113" i="5"/>
  <c r="F81" i="5"/>
  <c r="E142" i="5"/>
  <c r="F95" i="5"/>
  <c r="F113" i="5"/>
  <c r="F89" i="5"/>
  <c r="F121" i="5"/>
  <c r="G81" i="5"/>
  <c r="D83" i="5"/>
  <c r="E83" i="5"/>
  <c r="F153" i="5"/>
  <c r="D80" i="5"/>
  <c r="G76" i="5"/>
  <c r="E100" i="5"/>
  <c r="E116" i="5" s="1"/>
  <c r="C89" i="5"/>
  <c r="C121" i="5"/>
  <c r="C80" i="5"/>
  <c r="D95" i="5"/>
  <c r="D113" i="5"/>
  <c r="F152" i="5"/>
  <c r="E154" i="5"/>
  <c r="E152" i="5"/>
  <c r="D100" i="5"/>
  <c r="D116" i="5" s="1"/>
  <c r="D153" i="5"/>
  <c r="C153" i="5"/>
  <c r="F100" i="5"/>
  <c r="F116" i="5"/>
  <c r="C91" i="5"/>
  <c r="C109" i="5"/>
  <c r="G100" i="5"/>
  <c r="G116" i="5"/>
  <c r="F154" i="5"/>
  <c r="C142" i="5"/>
  <c r="F142" i="5"/>
  <c r="C158" i="5"/>
  <c r="G159" i="5"/>
  <c r="C76" i="5"/>
  <c r="C150" i="5"/>
  <c r="C77" i="5"/>
  <c r="C159" i="5"/>
  <c r="D159" i="5"/>
  <c r="D163" i="5"/>
  <c r="D77" i="5"/>
  <c r="D150" i="5"/>
  <c r="D76" i="5"/>
  <c r="E150" i="5"/>
  <c r="E163" i="5"/>
  <c r="E159" i="5"/>
  <c r="E76" i="5"/>
  <c r="F159" i="5"/>
  <c r="F150" i="5"/>
  <c r="F163" i="5"/>
  <c r="F76" i="5"/>
  <c r="C94" i="5"/>
  <c r="C112" i="5" s="1"/>
  <c r="G92" i="5"/>
  <c r="G110" i="5"/>
  <c r="G90" i="5"/>
  <c r="G122" i="5" s="1"/>
  <c r="G150" i="5"/>
  <c r="G77" i="5"/>
  <c r="G142" i="5"/>
  <c r="G154" i="5"/>
  <c r="G83" i="5"/>
  <c r="G79" i="5"/>
  <c r="C59" i="41"/>
  <c r="C60" i="41" s="1"/>
  <c r="F43" i="41"/>
  <c r="E25" i="41"/>
  <c r="E38" i="41" s="1"/>
  <c r="E43" i="41"/>
  <c r="D25" i="41"/>
  <c r="D43" i="41"/>
  <c r="C25" i="41"/>
  <c r="C43" i="41" s="1"/>
  <c r="B25" i="41"/>
  <c r="B38" i="41" s="1"/>
  <c r="E68" i="41"/>
  <c r="E80" i="41"/>
  <c r="D68" i="41"/>
  <c r="D71" i="41" s="1"/>
  <c r="C71" i="41" s="1"/>
  <c r="B71" i="41" s="1"/>
  <c r="D80" i="41"/>
  <c r="C68" i="41"/>
  <c r="C80" i="41"/>
  <c r="B68" i="41"/>
  <c r="B80" i="41" s="1"/>
  <c r="B88" i="41" s="1"/>
  <c r="F68" i="41"/>
  <c r="F80" i="41" s="1"/>
  <c r="F54" i="41"/>
  <c r="F56" i="41"/>
  <c r="F61" i="41" s="1"/>
  <c r="E54" i="41"/>
  <c r="E56" i="41"/>
  <c r="D54" i="41"/>
  <c r="D56" i="41"/>
  <c r="C54" i="41"/>
  <c r="C56" i="41"/>
  <c r="B54" i="41"/>
  <c r="B56" i="41"/>
  <c r="B61" i="41" s="1"/>
  <c r="B51" i="41"/>
  <c r="B65" i="41"/>
  <c r="C65" i="41"/>
  <c r="D65" i="41"/>
  <c r="E65" i="41"/>
  <c r="F65" i="41"/>
  <c r="F15" i="41"/>
  <c r="E15" i="41"/>
  <c r="D15" i="41"/>
  <c r="F18" i="41" s="1"/>
  <c r="F19" i="41" s="1"/>
  <c r="C15" i="41"/>
  <c r="B15" i="41"/>
  <c r="C14" i="41"/>
  <c r="D14" i="41"/>
  <c r="E14" i="41"/>
  <c r="F14" i="41"/>
  <c r="B14" i="41"/>
  <c r="F17" i="41" s="1"/>
  <c r="F22" i="41"/>
  <c r="E22" i="41"/>
  <c r="D22" i="41"/>
  <c r="C22" i="41"/>
  <c r="C23" i="41" s="1"/>
  <c r="B22" i="41"/>
  <c r="B23" i="41" s="1"/>
  <c r="B11" i="41"/>
  <c r="D59" i="41"/>
  <c r="D60" i="41"/>
  <c r="D61" i="41"/>
  <c r="B59" i="41"/>
  <c r="B60" i="41"/>
  <c r="E87" i="41"/>
  <c r="C87" i="41"/>
  <c r="D38" i="41"/>
  <c r="F38" i="41"/>
  <c r="E59" i="41"/>
  <c r="E60" i="41"/>
  <c r="E61" i="41"/>
  <c r="E70" i="41" s="1"/>
  <c r="D70" i="41" s="1"/>
  <c r="C70" i="41" s="1"/>
  <c r="B70" i="41" s="1"/>
  <c r="F59" i="41"/>
  <c r="F60" i="41"/>
  <c r="C11" i="41"/>
  <c r="C51" i="41"/>
  <c r="D11" i="41"/>
  <c r="D87" i="41"/>
  <c r="C38" i="41"/>
  <c r="B87" i="41"/>
  <c r="D51" i="41"/>
  <c r="E11" i="41"/>
  <c r="E51" i="41"/>
  <c r="C21" i="41"/>
  <c r="C64" i="41"/>
  <c r="C66" i="41"/>
  <c r="B21" i="41"/>
  <c r="B64" i="41"/>
  <c r="B66" i="41"/>
  <c r="D64" i="41"/>
  <c r="D66" i="41"/>
  <c r="D21" i="41"/>
  <c r="D23" i="41"/>
  <c r="F51" i="41"/>
  <c r="F11" i="41"/>
  <c r="G53" i="34"/>
  <c r="F53" i="34"/>
  <c r="C12" i="34"/>
  <c r="I9" i="34"/>
  <c r="I8" i="34"/>
  <c r="I10" i="34"/>
  <c r="B3" i="34"/>
  <c r="J10" i="34"/>
  <c r="J9" i="34"/>
  <c r="J8" i="34"/>
  <c r="K9" i="34" s="1"/>
  <c r="K8" i="34"/>
  <c r="J11" i="34"/>
  <c r="K12" i="34"/>
  <c r="C31" i="20"/>
  <c r="C30" i="20"/>
  <c r="C32" i="20"/>
  <c r="C34" i="20" s="1"/>
  <c r="E34" i="20" s="1"/>
  <c r="C33" i="20"/>
  <c r="D166" i="20"/>
  <c r="D165" i="20"/>
  <c r="B164" i="20"/>
  <c r="B165" i="20"/>
  <c r="C164" i="20"/>
  <c r="C166" i="20"/>
  <c r="E166" i="20" s="1"/>
  <c r="F166" i="20" s="1"/>
  <c r="D164" i="20"/>
  <c r="E157" i="20"/>
  <c r="E158" i="20"/>
  <c r="E159" i="20"/>
  <c r="E160" i="20"/>
  <c r="E161" i="20"/>
  <c r="E162" i="20"/>
  <c r="E163" i="20"/>
  <c r="E156" i="20"/>
  <c r="D152" i="20"/>
  <c r="C152" i="20"/>
  <c r="E151" i="20"/>
  <c r="E150" i="20"/>
  <c r="E148" i="20"/>
  <c r="E146" i="20"/>
  <c r="E144" i="20"/>
  <c r="E142" i="20"/>
  <c r="E141" i="20"/>
  <c r="E140" i="20"/>
  <c r="E139" i="20"/>
  <c r="E138" i="20"/>
  <c r="E137" i="20"/>
  <c r="E135" i="20"/>
  <c r="E134" i="20"/>
  <c r="E133" i="20"/>
  <c r="E132" i="20"/>
  <c r="E130" i="20"/>
  <c r="E129" i="20"/>
  <c r="E128" i="20"/>
  <c r="C70" i="20"/>
  <c r="C65" i="20"/>
  <c r="C25" i="20"/>
  <c r="C60" i="20"/>
  <c r="C20" i="20"/>
  <c r="C36" i="20"/>
  <c r="E152" i="20"/>
  <c r="B166" i="20"/>
  <c r="C14" i="20"/>
  <c r="C16" i="20" s="1"/>
  <c r="C18" i="20" s="1"/>
  <c r="C15" i="20"/>
  <c r="C54" i="20"/>
  <c r="C56" i="20" s="1"/>
  <c r="C58" i="20" s="1"/>
  <c r="E58" i="20" s="1"/>
  <c r="C55" i="20"/>
  <c r="C165" i="20"/>
  <c r="E164" i="20"/>
  <c r="F164" i="20"/>
  <c r="C71" i="20"/>
  <c r="C72" i="20"/>
  <c r="E72" i="20" s="1"/>
  <c r="C57" i="20"/>
  <c r="C27" i="20"/>
  <c r="C17" i="20"/>
  <c r="E18" i="20"/>
  <c r="C21" i="20"/>
  <c r="C22" i="20"/>
  <c r="E22" i="20"/>
  <c r="C37" i="20"/>
  <c r="C67" i="20"/>
  <c r="C61" i="20"/>
  <c r="C62" i="20" s="1"/>
  <c r="E62" i="20" s="1"/>
  <c r="H5" i="20"/>
  <c r="K10" i="34" l="1"/>
  <c r="K11" i="34"/>
  <c r="C30" i="19"/>
  <c r="D69" i="5"/>
  <c r="D174" i="5" s="1"/>
  <c r="C38" i="20"/>
  <c r="E38" i="20" s="1"/>
  <c r="B114" i="5"/>
  <c r="B117" i="5" s="1"/>
  <c r="D30" i="19"/>
  <c r="E69" i="5"/>
  <c r="E174" i="5" s="1"/>
  <c r="E165" i="20"/>
  <c r="F165" i="20" s="1"/>
  <c r="C61" i="41"/>
  <c r="C72" i="41" s="1"/>
  <c r="B72" i="41" s="1"/>
  <c r="B74" i="41" s="1"/>
  <c r="F69" i="5"/>
  <c r="F174" i="5" s="1"/>
  <c r="C69" i="5"/>
  <c r="C174" i="5" s="1"/>
  <c r="B30" i="19"/>
  <c r="E27" i="41"/>
  <c r="D27" i="41" s="1"/>
  <c r="C27" i="41" s="1"/>
  <c r="C31" i="41" s="1"/>
  <c r="D28" i="41"/>
  <c r="C28" i="41" s="1"/>
  <c r="B28" i="41" s="1"/>
  <c r="B31" i="41" s="1"/>
  <c r="C29" i="41"/>
  <c r="B29" i="41" s="1"/>
  <c r="F26" i="41"/>
  <c r="F30" i="19"/>
  <c r="B28" i="19"/>
  <c r="B59" i="5"/>
  <c r="E12" i="21"/>
  <c r="I11" i="21"/>
  <c r="E14" i="21" s="1"/>
  <c r="E81" i="27"/>
  <c r="B31" i="27"/>
  <c r="J7" i="27"/>
  <c r="E93" i="27" s="1"/>
  <c r="B14" i="27"/>
  <c r="F69" i="41"/>
  <c r="B32" i="41"/>
  <c r="B30" i="41"/>
  <c r="F87" i="41"/>
  <c r="B43" i="41"/>
  <c r="E30" i="19"/>
  <c r="F136" i="35"/>
  <c r="G128" i="35"/>
  <c r="B21" i="31"/>
  <c r="B24" i="31" s="1"/>
  <c r="B23" i="31"/>
  <c r="B22" i="31"/>
  <c r="G69" i="35"/>
  <c r="H23" i="19" s="1"/>
  <c r="K11" i="21"/>
  <c r="B15" i="28"/>
  <c r="B32" i="28"/>
  <c r="A59" i="28" s="1"/>
  <c r="E23" i="31"/>
  <c r="E22" i="31"/>
  <c r="E20" i="31"/>
  <c r="E21" i="31"/>
  <c r="C13" i="21"/>
  <c r="M11" i="21"/>
  <c r="B16" i="26"/>
  <c r="B33" i="26"/>
  <c r="A60" i="26" s="1"/>
  <c r="C28" i="35"/>
  <c r="C46" i="35"/>
  <c r="G148" i="35"/>
  <c r="G46" i="35"/>
  <c r="G45" i="35"/>
  <c r="G78" i="35"/>
  <c r="H20" i="19"/>
  <c r="B73" i="41"/>
  <c r="G11" i="35"/>
  <c r="H13" i="19" s="1"/>
  <c r="F46" i="35"/>
  <c r="F28" i="35"/>
  <c r="G98" i="35"/>
  <c r="G135" i="35" s="1"/>
  <c r="F12" i="21"/>
  <c r="B15" i="25"/>
  <c r="B32" i="25"/>
  <c r="A59" i="25" s="1"/>
  <c r="F21" i="31"/>
  <c r="F24" i="31" s="1"/>
  <c r="J7" i="26"/>
  <c r="E93" i="26" s="1"/>
  <c r="D31" i="18"/>
  <c r="D51" i="18"/>
  <c r="D55" i="18" s="1"/>
  <c r="E27" i="37"/>
  <c r="E26" i="37"/>
  <c r="F23" i="31"/>
  <c r="D22" i="31"/>
  <c r="D24" i="31" s="1"/>
  <c r="C27" i="37"/>
  <c r="B32" i="29"/>
  <c r="A59" i="29" s="1"/>
  <c r="B15" i="29"/>
  <c r="B31" i="25"/>
  <c r="E81" i="25"/>
  <c r="J7" i="25"/>
  <c r="E93" i="25" s="1"/>
  <c r="C31" i="18"/>
  <c r="C51" i="18"/>
  <c r="C55" i="18" s="1"/>
  <c r="B19" i="33"/>
  <c r="F27" i="37"/>
  <c r="B31" i="29"/>
  <c r="C38" i="29"/>
  <c r="AD37" i="17"/>
  <c r="AD39" i="17" s="1"/>
  <c r="AL28" i="17"/>
  <c r="AL30" i="17" s="1"/>
  <c r="C99" i="40"/>
  <c r="C92" i="40"/>
  <c r="C96" i="40"/>
  <c r="B139" i="40"/>
  <c r="B135" i="40"/>
  <c r="B31" i="24"/>
  <c r="B14" i="24"/>
  <c r="B15" i="23"/>
  <c r="G166" i="35"/>
  <c r="B10" i="18"/>
  <c r="B30" i="18" s="1"/>
  <c r="J28" i="17"/>
  <c r="J30" i="17" s="1"/>
  <c r="P28" i="17"/>
  <c r="P30" i="17" s="1"/>
  <c r="AX37" i="17"/>
  <c r="AX39" i="17" s="1"/>
  <c r="AX28" i="17"/>
  <c r="AX30" i="17" s="1"/>
  <c r="AZ6" i="17"/>
  <c r="B47" i="33"/>
  <c r="B46" i="33" s="1"/>
  <c r="B60" i="33"/>
  <c r="AE8" i="17"/>
  <c r="B27" i="37"/>
  <c r="D27" i="37"/>
  <c r="C39" i="29"/>
  <c r="C37" i="29"/>
  <c r="C40" i="29" s="1"/>
  <c r="AJ37" i="17"/>
  <c r="AJ39" i="17" s="1"/>
  <c r="AJ28" i="17"/>
  <c r="AJ30" i="17" s="1"/>
  <c r="R37" i="17"/>
  <c r="R39" i="17" s="1"/>
  <c r="R28" i="17"/>
  <c r="R30" i="17" s="1"/>
  <c r="Y28" i="17"/>
  <c r="Y30" i="17" s="1"/>
  <c r="Y37" i="17"/>
  <c r="Y39" i="17" s="1"/>
  <c r="AU37" i="17"/>
  <c r="AU39" i="17" s="1"/>
  <c r="AU28" i="17"/>
  <c r="AU30" i="17" s="1"/>
  <c r="E53" i="33"/>
  <c r="E57" i="33"/>
  <c r="E50" i="33"/>
  <c r="E54" i="33"/>
  <c r="E55" i="33"/>
  <c r="E58" i="33"/>
  <c r="E56" i="33"/>
  <c r="E52" i="33"/>
  <c r="E26" i="33"/>
  <c r="E20" i="33" s="1"/>
  <c r="E19" i="33" s="1"/>
  <c r="E51" i="33"/>
  <c r="E60" i="33"/>
  <c r="A41" i="29"/>
  <c r="AM28" i="17"/>
  <c r="AM30" i="17" s="1"/>
  <c r="AM37" i="17"/>
  <c r="AM39" i="17" s="1"/>
  <c r="O37" i="17"/>
  <c r="O39" i="17" s="1"/>
  <c r="O28" i="17"/>
  <c r="O30" i="17" s="1"/>
  <c r="F37" i="17"/>
  <c r="F39" i="17" s="1"/>
  <c r="F28" i="17"/>
  <c r="F30" i="17" s="1"/>
  <c r="D25" i="32"/>
  <c r="D26" i="32" s="1"/>
  <c r="B40" i="32"/>
  <c r="B39" i="32"/>
  <c r="F45" i="32"/>
  <c r="B62" i="32"/>
  <c r="B63" i="32"/>
  <c r="E63" i="32"/>
  <c r="E68" i="32"/>
  <c r="E35" i="29"/>
  <c r="F35" i="29" s="1"/>
  <c r="G37" i="17"/>
  <c r="G39" i="17" s="1"/>
  <c r="AN28" i="17"/>
  <c r="AN30" i="17" s="1"/>
  <c r="AN37" i="17"/>
  <c r="AN39" i="17" s="1"/>
  <c r="AI26" i="17"/>
  <c r="AA14" i="17"/>
  <c r="AA26" i="17" s="1"/>
  <c r="D63" i="32"/>
  <c r="D48" i="32"/>
  <c r="D46" i="32"/>
  <c r="F68" i="32"/>
  <c r="F63" i="32"/>
  <c r="B131" i="40"/>
  <c r="C130" i="40"/>
  <c r="BA8" i="17"/>
  <c r="C38" i="23"/>
  <c r="E38" i="23"/>
  <c r="A39" i="23"/>
  <c r="E41" i="29"/>
  <c r="E39" i="29"/>
  <c r="E34" i="29"/>
  <c r="F34" i="29" s="1"/>
  <c r="E48" i="32"/>
  <c r="C15" i="32"/>
  <c r="C24" i="32" s="1"/>
  <c r="B52" i="36"/>
  <c r="B54" i="36"/>
  <c r="BC8" i="17"/>
  <c r="S26" i="17"/>
  <c r="B26" i="32"/>
  <c r="B25" i="32"/>
  <c r="D68" i="32"/>
  <c r="D70" i="32"/>
  <c r="D99" i="40"/>
  <c r="D96" i="40"/>
  <c r="B57" i="40"/>
  <c r="C54" i="36"/>
  <c r="C57" i="36" s="1"/>
  <c r="C52" i="36"/>
  <c r="B22" i="36"/>
  <c r="C39" i="26"/>
  <c r="A40" i="26"/>
  <c r="E39" i="26"/>
  <c r="B99" i="40"/>
  <c r="B92" i="40"/>
  <c r="C57" i="40"/>
  <c r="D92" i="40"/>
  <c r="C109" i="1"/>
  <c r="G109" i="1"/>
  <c r="D108" i="1"/>
  <c r="D105" i="1" s="1"/>
  <c r="D50" i="33"/>
  <c r="D51" i="33"/>
  <c r="D58" i="33"/>
  <c r="D56" i="33"/>
  <c r="G76" i="10"/>
  <c r="G85" i="1"/>
  <c r="G84" i="1" s="1"/>
  <c r="E77" i="10"/>
  <c r="E88" i="1"/>
  <c r="E87" i="1" s="1"/>
  <c r="E73" i="10"/>
  <c r="L96" i="10"/>
  <c r="D12" i="38"/>
  <c r="D14" i="38" s="1"/>
  <c r="D18" i="38" s="1"/>
  <c r="D12" i="36"/>
  <c r="D14" i="36" s="1"/>
  <c r="D21" i="36" s="1"/>
  <c r="D38" i="36"/>
  <c r="D40" i="36" s="1"/>
  <c r="D47" i="36" s="1"/>
  <c r="D22" i="40"/>
  <c r="D24" i="40" s="1"/>
  <c r="D28" i="40" s="1"/>
  <c r="D27" i="40" s="1"/>
  <c r="D30" i="40" s="1"/>
  <c r="J8" i="25"/>
  <c r="J10" i="25" s="1"/>
  <c r="C70" i="32"/>
  <c r="C69" i="32" s="1"/>
  <c r="C71" i="32" s="1"/>
  <c r="C47" i="32"/>
  <c r="C63" i="32"/>
  <c r="C45" i="32"/>
  <c r="D135" i="40"/>
  <c r="D131" i="40"/>
  <c r="B27" i="40"/>
  <c r="B30" i="40" s="1"/>
  <c r="D49" i="40"/>
  <c r="D56" i="40" s="1"/>
  <c r="D90" i="1"/>
  <c r="D22" i="1"/>
  <c r="D20" i="1" s="1"/>
  <c r="D141" i="1"/>
  <c r="D138" i="1" s="1"/>
  <c r="C52" i="33"/>
  <c r="C51" i="33"/>
  <c r="C53" i="33"/>
  <c r="C50" i="33"/>
  <c r="C59" i="33" s="1"/>
  <c r="C26" i="33"/>
  <c r="C20" i="33" s="1"/>
  <c r="C19" i="33" s="1"/>
  <c r="D57" i="33"/>
  <c r="K73" i="10"/>
  <c r="F73" i="10"/>
  <c r="M72" i="10"/>
  <c r="BD3" i="12"/>
  <c r="F9" i="10"/>
  <c r="AY14" i="12"/>
  <c r="BD10" i="12"/>
  <c r="AE14" i="12"/>
  <c r="BB10" i="12"/>
  <c r="B96" i="40"/>
  <c r="B49" i="40"/>
  <c r="B56" i="40" s="1"/>
  <c r="D84" i="1"/>
  <c r="E138" i="1"/>
  <c r="D59" i="33"/>
  <c r="D47" i="33"/>
  <c r="D46" i="33" s="1"/>
  <c r="D26" i="33"/>
  <c r="D20" i="33" s="1"/>
  <c r="D19" i="33" s="1"/>
  <c r="AZ8" i="17"/>
  <c r="E127" i="10"/>
  <c r="E150" i="10"/>
  <c r="E56" i="1"/>
  <c r="G101" i="1"/>
  <c r="G83" i="1"/>
  <c r="G81" i="1" s="1"/>
  <c r="G122" i="1"/>
  <c r="G89" i="1"/>
  <c r="G87" i="1" s="1"/>
  <c r="C122" i="1"/>
  <c r="C118" i="1"/>
  <c r="C106" i="1"/>
  <c r="C105" i="1" s="1"/>
  <c r="C86" i="1"/>
  <c r="C84" i="1" s="1"/>
  <c r="C98" i="1"/>
  <c r="C92" i="1"/>
  <c r="C90" i="1" s="1"/>
  <c r="C21" i="36"/>
  <c r="B21" i="36"/>
  <c r="C37" i="23"/>
  <c r="E37" i="23"/>
  <c r="N86" i="10"/>
  <c r="N89" i="10"/>
  <c r="L72" i="10"/>
  <c r="D127" i="10"/>
  <c r="D150" i="10"/>
  <c r="M89" i="10"/>
  <c r="M88" i="10"/>
  <c r="M90" i="10"/>
  <c r="L79" i="10"/>
  <c r="L87" i="10"/>
  <c r="L86" i="10"/>
  <c r="I93" i="10"/>
  <c r="B95" i="10"/>
  <c r="M79" i="10"/>
  <c r="M77" i="10"/>
  <c r="M76" i="10"/>
  <c r="L90" i="10"/>
  <c r="L76" i="10"/>
  <c r="G95" i="1"/>
  <c r="G118" i="1"/>
  <c r="C101" i="1"/>
  <c r="F36" i="23"/>
  <c r="N79" i="10"/>
  <c r="N85" i="10"/>
  <c r="J90" i="10"/>
  <c r="J72" i="10"/>
  <c r="C127" i="10"/>
  <c r="C150" i="10"/>
  <c r="C152" i="10" s="1"/>
  <c r="M91" i="10"/>
  <c r="M85" i="10"/>
  <c r="J87" i="10"/>
  <c r="L85" i="10"/>
  <c r="L89" i="10"/>
  <c r="L91" i="10"/>
  <c r="D20" i="10"/>
  <c r="B20" i="10"/>
  <c r="C39" i="27"/>
  <c r="E39" i="27"/>
  <c r="A40" i="27"/>
  <c r="M96" i="10"/>
  <c r="E16" i="10"/>
  <c r="I39" i="10"/>
  <c r="I56" i="10"/>
  <c r="I57" i="10"/>
  <c r="I48" i="10"/>
  <c r="I49" i="10"/>
  <c r="I59" i="10"/>
  <c r="I38" i="10"/>
  <c r="I54" i="10"/>
  <c r="I40" i="10"/>
  <c r="I58" i="10"/>
  <c r="I46" i="10"/>
  <c r="I50" i="10" s="1"/>
  <c r="I47" i="10"/>
  <c r="I60" i="10"/>
  <c r="I37" i="10"/>
  <c r="I62" i="10"/>
  <c r="I36" i="10"/>
  <c r="I43" i="10"/>
  <c r="I41" i="10"/>
  <c r="I61" i="10"/>
  <c r="I42" i="10"/>
  <c r="C40" i="24"/>
  <c r="E40" i="24"/>
  <c r="A41" i="24"/>
  <c r="F63" i="10"/>
  <c r="O56" i="12"/>
  <c r="BA44" i="12"/>
  <c r="U53" i="12"/>
  <c r="BA53" i="12" s="1"/>
  <c r="E20" i="10"/>
  <c r="AI56" i="12"/>
  <c r="F34" i="27"/>
  <c r="AP26" i="17"/>
  <c r="F22" i="38"/>
  <c r="C39" i="24"/>
  <c r="E39" i="24"/>
  <c r="BC28" i="12"/>
  <c r="BA28" i="12"/>
  <c r="AO10" i="12"/>
  <c r="BC9" i="12"/>
  <c r="F15" i="10" s="1"/>
  <c r="D33" i="10"/>
  <c r="K9" i="10"/>
  <c r="J9" i="10"/>
  <c r="B9" i="10"/>
  <c r="C130" i="10"/>
  <c r="C102" i="10"/>
  <c r="B116" i="35" s="1"/>
  <c r="AF14" i="17"/>
  <c r="AF26" i="17" s="1"/>
  <c r="B22" i="38"/>
  <c r="B18" i="38"/>
  <c r="B24" i="38" s="1"/>
  <c r="C38" i="27"/>
  <c r="C37" i="27"/>
  <c r="F34" i="26"/>
  <c r="C37" i="24"/>
  <c r="E37" i="24"/>
  <c r="AV56" i="12"/>
  <c r="BD49" i="12"/>
  <c r="AY53" i="12"/>
  <c r="BD53" i="12" s="1"/>
  <c r="BD28" i="12"/>
  <c r="BB28" i="12"/>
  <c r="AZ28" i="12"/>
  <c r="F32" i="28"/>
  <c r="C18" i="38"/>
  <c r="C24" i="38" s="1"/>
  <c r="C22" i="38"/>
  <c r="C38" i="26"/>
  <c r="C37" i="26"/>
  <c r="C38" i="24"/>
  <c r="E38" i="24"/>
  <c r="J56" i="12"/>
  <c r="D56" i="12"/>
  <c r="E56" i="12"/>
  <c r="R56" i="12"/>
  <c r="AB56" i="12"/>
  <c r="AH56" i="12"/>
  <c r="A39" i="25"/>
  <c r="F36" i="25"/>
  <c r="AD56" i="12"/>
  <c r="T56" i="12"/>
  <c r="AI42" i="12"/>
  <c r="AI54" i="12" s="1"/>
  <c r="F93" i="35"/>
  <c r="F38" i="25"/>
  <c r="F37" i="25"/>
  <c r="F32" i="25"/>
  <c r="AP56" i="12"/>
  <c r="AZ7" i="12"/>
  <c r="K14" i="12"/>
  <c r="P54" i="12"/>
  <c r="P56" i="12" s="1"/>
  <c r="AN42" i="12"/>
  <c r="AN54" i="12" s="1"/>
  <c r="AN56" i="12" s="1"/>
  <c r="AM23" i="12"/>
  <c r="AM56" i="12" s="1"/>
  <c r="F39" i="28"/>
  <c r="AZ44" i="12"/>
  <c r="K53" i="12"/>
  <c r="AZ53" i="12" s="1"/>
  <c r="BB44" i="12"/>
  <c r="AE53" i="12"/>
  <c r="BB53" i="12" s="1"/>
  <c r="A40" i="28"/>
  <c r="C38" i="28"/>
  <c r="C37" i="28"/>
  <c r="D24" i="38" l="1"/>
  <c r="D19" i="38"/>
  <c r="D23" i="38" s="1"/>
  <c r="B15" i="35"/>
  <c r="C152" i="5"/>
  <c r="F16" i="35"/>
  <c r="G153" i="5"/>
  <c r="B67" i="29"/>
  <c r="F40" i="29"/>
  <c r="F14" i="35"/>
  <c r="G151" i="5"/>
  <c r="B81" i="41"/>
  <c r="B86" i="41"/>
  <c r="B75" i="41"/>
  <c r="D51" i="36"/>
  <c r="D55" i="36"/>
  <c r="D48" i="36"/>
  <c r="C26" i="36"/>
  <c r="C29" i="36"/>
  <c r="C75" i="10"/>
  <c r="C82" i="1"/>
  <c r="C81" i="1" s="1"/>
  <c r="B48" i="35"/>
  <c r="BB14" i="12"/>
  <c r="E12" i="1" s="1"/>
  <c r="C17" i="35"/>
  <c r="D154" i="5"/>
  <c r="A42" i="29"/>
  <c r="C41" i="29"/>
  <c r="K41" i="29"/>
  <c r="E68" i="29" s="1"/>
  <c r="B59" i="33"/>
  <c r="C44" i="41"/>
  <c r="C37" i="41"/>
  <c r="C45" i="41" s="1"/>
  <c r="F37" i="28"/>
  <c r="B64" i="28"/>
  <c r="E54" i="10"/>
  <c r="D101" i="35"/>
  <c r="C13" i="10"/>
  <c r="C16" i="1"/>
  <c r="C18" i="1" s="1"/>
  <c r="B77" i="35"/>
  <c r="C19" i="38"/>
  <c r="C23" i="38" s="1"/>
  <c r="E37" i="10"/>
  <c r="E115" i="1"/>
  <c r="F116" i="1" s="1"/>
  <c r="E31" i="1"/>
  <c r="D90" i="35"/>
  <c r="G59" i="10"/>
  <c r="G73" i="1"/>
  <c r="G74" i="1" s="1"/>
  <c r="G47" i="1"/>
  <c r="G50" i="1"/>
  <c r="F105" i="35"/>
  <c r="F37" i="24"/>
  <c r="B64" i="24"/>
  <c r="B19" i="38"/>
  <c r="B23" i="38" s="1"/>
  <c r="B25" i="38" s="1"/>
  <c r="E12" i="38"/>
  <c r="E14" i="38" s="1"/>
  <c r="E18" i="38" s="1"/>
  <c r="E38" i="36"/>
  <c r="E40" i="36" s="1"/>
  <c r="E47" i="36" s="1"/>
  <c r="E12" i="36"/>
  <c r="E14" i="36" s="1"/>
  <c r="E21" i="36" s="1"/>
  <c r="F25" i="33"/>
  <c r="AF28" i="17"/>
  <c r="J8" i="26"/>
  <c r="J10" i="26" s="1"/>
  <c r="E108" i="40"/>
  <c r="E110" i="40" s="1"/>
  <c r="E130" i="40" s="1"/>
  <c r="E32" i="32"/>
  <c r="E34" i="32" s="1"/>
  <c r="E47" i="32" s="1"/>
  <c r="E46" i="32" s="1"/>
  <c r="AF37" i="17"/>
  <c r="AF39" i="17" s="1"/>
  <c r="E47" i="40"/>
  <c r="E49" i="40" s="1"/>
  <c r="E56" i="40" s="1"/>
  <c r="E84" i="40"/>
  <c r="E86" i="40" s="1"/>
  <c r="E91" i="40" s="1"/>
  <c r="E13" i="32"/>
  <c r="E15" i="32" s="1"/>
  <c r="E24" i="32" s="1"/>
  <c r="E22" i="40"/>
  <c r="E24" i="40" s="1"/>
  <c r="E28" i="40" s="1"/>
  <c r="E27" i="40" s="1"/>
  <c r="E30" i="40" s="1"/>
  <c r="E54" i="32"/>
  <c r="E56" i="32" s="1"/>
  <c r="E70" i="32" s="1"/>
  <c r="E69" i="32" s="1"/>
  <c r="E71" i="32" s="1"/>
  <c r="E64" i="41"/>
  <c r="E66" i="41" s="1"/>
  <c r="E21" i="41"/>
  <c r="E23" i="41" s="1"/>
  <c r="J70" i="10"/>
  <c r="J33" i="10"/>
  <c r="BC10" i="12"/>
  <c r="AO14" i="12"/>
  <c r="F37" i="10"/>
  <c r="F115" i="1"/>
  <c r="G116" i="1" s="1"/>
  <c r="F31" i="1"/>
  <c r="E90" i="35"/>
  <c r="I44" i="10"/>
  <c r="I51" i="10" s="1"/>
  <c r="I63" i="10"/>
  <c r="F39" i="27"/>
  <c r="B66" i="27"/>
  <c r="D151" i="10"/>
  <c r="B141" i="35"/>
  <c r="D152" i="10"/>
  <c r="B26" i="36"/>
  <c r="B29" i="36"/>
  <c r="C15" i="35"/>
  <c r="D152" i="5"/>
  <c r="B64" i="40"/>
  <c r="B61" i="40"/>
  <c r="E107" i="1"/>
  <c r="E21" i="1"/>
  <c r="E17" i="1"/>
  <c r="E18" i="1" s="1"/>
  <c r="D78" i="35"/>
  <c r="D81" i="35" s="1"/>
  <c r="F102" i="10"/>
  <c r="E116" i="35" s="1"/>
  <c r="F130" i="10"/>
  <c r="F33" i="10"/>
  <c r="M9" i="10"/>
  <c r="F70" i="10"/>
  <c r="E10" i="35"/>
  <c r="I11" i="34"/>
  <c r="C34" i="18"/>
  <c r="D158" i="5"/>
  <c r="C48" i="32"/>
  <c r="C46" i="32"/>
  <c r="D26" i="36"/>
  <c r="D29" i="36"/>
  <c r="D22" i="36"/>
  <c r="L77" i="10"/>
  <c r="E81" i="5"/>
  <c r="B25" i="35"/>
  <c r="C163" i="5"/>
  <c r="D98" i="40"/>
  <c r="D97" i="40"/>
  <c r="D101" i="40" s="1"/>
  <c r="B97" i="40"/>
  <c r="B98" i="40"/>
  <c r="F39" i="26"/>
  <c r="B66" i="26"/>
  <c r="F82" i="1"/>
  <c r="F81" i="1" s="1"/>
  <c r="F75" i="10"/>
  <c r="E48" i="35"/>
  <c r="F38" i="23"/>
  <c r="B65" i="23"/>
  <c r="B70" i="32"/>
  <c r="B68" i="32"/>
  <c r="B45" i="32"/>
  <c r="B47" i="32"/>
  <c r="B66" i="29"/>
  <c r="F39" i="29"/>
  <c r="BB8" i="17"/>
  <c r="B32" i="24"/>
  <c r="A59" i="24" s="1"/>
  <c r="B15" i="24"/>
  <c r="C59" i="18"/>
  <c r="C56" i="18"/>
  <c r="C32" i="41"/>
  <c r="B44" i="41"/>
  <c r="B37" i="41"/>
  <c r="B45" i="41" s="1"/>
  <c r="F37" i="26"/>
  <c r="B64" i="26"/>
  <c r="C41" i="24"/>
  <c r="E41" i="24"/>
  <c r="A42" i="24"/>
  <c r="G9" i="10"/>
  <c r="F75" i="35"/>
  <c r="G75" i="35" s="1"/>
  <c r="C24" i="35"/>
  <c r="D162" i="5"/>
  <c r="C139" i="40"/>
  <c r="C135" i="40"/>
  <c r="B32" i="18"/>
  <c r="C32" i="18"/>
  <c r="D32" i="18"/>
  <c r="B31" i="18"/>
  <c r="B51" i="18"/>
  <c r="B55" i="18" s="1"/>
  <c r="B16" i="25"/>
  <c r="B33" i="25"/>
  <c r="A60" i="25" s="1"/>
  <c r="I20" i="19"/>
  <c r="C40" i="28"/>
  <c r="A41" i="28"/>
  <c r="E40" i="28"/>
  <c r="C54" i="10"/>
  <c r="B101" i="35"/>
  <c r="C39" i="25"/>
  <c r="A40" i="25"/>
  <c r="E39" i="25"/>
  <c r="F38" i="26"/>
  <c r="B65" i="26"/>
  <c r="C37" i="10"/>
  <c r="C115" i="1"/>
  <c r="C31" i="1"/>
  <c r="B90" i="35"/>
  <c r="G37" i="10"/>
  <c r="G31" i="1"/>
  <c r="G115" i="1"/>
  <c r="F90" i="35"/>
  <c r="F37" i="27"/>
  <c r="B64" i="27"/>
  <c r="D37" i="10"/>
  <c r="D115" i="1"/>
  <c r="D31" i="1"/>
  <c r="E32" i="1" s="1"/>
  <c r="C90" i="35"/>
  <c r="F39" i="24"/>
  <c r="B66" i="24"/>
  <c r="D54" i="10"/>
  <c r="C101" i="35"/>
  <c r="C40" i="27"/>
  <c r="E40" i="27"/>
  <c r="A41" i="27"/>
  <c r="B24" i="35"/>
  <c r="C162" i="5"/>
  <c r="G17" i="1"/>
  <c r="G18" i="1" s="1"/>
  <c r="G21" i="1"/>
  <c r="G107" i="1"/>
  <c r="F78" i="35"/>
  <c r="D138" i="40"/>
  <c r="D137" i="40"/>
  <c r="L73" i="10"/>
  <c r="E77" i="5"/>
  <c r="N76" i="10"/>
  <c r="G80" i="5"/>
  <c r="C22" i="36"/>
  <c r="S37" i="17"/>
  <c r="S39" i="17" s="1"/>
  <c r="S28" i="17"/>
  <c r="S30" i="17" s="1"/>
  <c r="B57" i="36"/>
  <c r="C39" i="23"/>
  <c r="E39" i="23"/>
  <c r="A40" i="23"/>
  <c r="D75" i="10"/>
  <c r="D82" i="1"/>
  <c r="D81" i="1" s="1"/>
  <c r="C48" i="35"/>
  <c r="C131" i="40"/>
  <c r="AI28" i="17"/>
  <c r="AI30" i="17" s="1"/>
  <c r="AI37" i="17"/>
  <c r="AI39" i="17" s="1"/>
  <c r="F48" i="32"/>
  <c r="E59" i="33"/>
  <c r="G54" i="18"/>
  <c r="G133" i="35"/>
  <c r="B33" i="29"/>
  <c r="A60" i="29" s="1"/>
  <c r="B16" i="29"/>
  <c r="D59" i="18"/>
  <c r="D56" i="18"/>
  <c r="B17" i="26"/>
  <c r="B34" i="26"/>
  <c r="A61" i="26" s="1"/>
  <c r="B16" i="28"/>
  <c r="B33" i="28"/>
  <c r="A60" i="28" s="1"/>
  <c r="E69" i="41"/>
  <c r="F74" i="41"/>
  <c r="F31" i="41"/>
  <c r="E26" i="41"/>
  <c r="F38" i="28"/>
  <c r="B65" i="28"/>
  <c r="K70" i="10"/>
  <c r="K33" i="10"/>
  <c r="B29" i="10"/>
  <c r="I20" i="10" s="1"/>
  <c r="F15" i="35"/>
  <c r="G152" i="5"/>
  <c r="AA28" i="17"/>
  <c r="AA30" i="17" s="1"/>
  <c r="AA37" i="17"/>
  <c r="AA39" i="17" s="1"/>
  <c r="AZ14" i="12"/>
  <c r="C12" i="1" s="1"/>
  <c r="F38" i="24"/>
  <c r="B65" i="24"/>
  <c r="C25" i="38"/>
  <c r="F38" i="27"/>
  <c r="B65" i="27"/>
  <c r="B33" i="10"/>
  <c r="B130" i="10"/>
  <c r="B102" i="10"/>
  <c r="B70" i="10"/>
  <c r="B23" i="33"/>
  <c r="C23" i="33" s="1"/>
  <c r="D23" i="33" s="1"/>
  <c r="E23" i="33" s="1"/>
  <c r="F23" i="33" s="1"/>
  <c r="G23" i="33" s="1"/>
  <c r="B60" i="1"/>
  <c r="C60" i="1" s="1"/>
  <c r="D60" i="1" s="1"/>
  <c r="E60" i="1" s="1"/>
  <c r="F60" i="1" s="1"/>
  <c r="G60" i="1" s="1"/>
  <c r="B104" i="1"/>
  <c r="C104" i="1" s="1"/>
  <c r="D104" i="1" s="1"/>
  <c r="E104" i="1" s="1"/>
  <c r="F104" i="1" s="1"/>
  <c r="G104" i="1" s="1"/>
  <c r="B44" i="1"/>
  <c r="C44" i="1" s="1"/>
  <c r="D44" i="1" s="1"/>
  <c r="E44" i="1" s="1"/>
  <c r="F44" i="1" s="1"/>
  <c r="G44" i="1" s="1"/>
  <c r="B36" i="33"/>
  <c r="C36" i="33" s="1"/>
  <c r="D36" i="33" s="1"/>
  <c r="B127" i="1"/>
  <c r="C127" i="1" s="1"/>
  <c r="D127" i="1" s="1"/>
  <c r="E127" i="1" s="1"/>
  <c r="F127" i="1" s="1"/>
  <c r="G127" i="1" s="1"/>
  <c r="B10" i="1"/>
  <c r="C10" i="1" s="1"/>
  <c r="D10" i="1" s="1"/>
  <c r="E10" i="1" s="1"/>
  <c r="F10" i="1" s="1"/>
  <c r="G10" i="1" s="1"/>
  <c r="B77" i="1"/>
  <c r="C77" i="1" s="1"/>
  <c r="D77" i="1" s="1"/>
  <c r="E77" i="1" s="1"/>
  <c r="F77" i="1" s="1"/>
  <c r="G77" i="1" s="1"/>
  <c r="B49" i="33"/>
  <c r="C49" i="33" s="1"/>
  <c r="D49" i="33" s="1"/>
  <c r="E49" i="33" s="1"/>
  <c r="F49" i="33" s="1"/>
  <c r="G49" i="33" s="1"/>
  <c r="I9" i="10"/>
  <c r="B9" i="33"/>
  <c r="C9" i="33" s="1"/>
  <c r="D9" i="33" s="1"/>
  <c r="B10" i="5"/>
  <c r="C10" i="5" s="1"/>
  <c r="D10" i="5" s="1"/>
  <c r="E10" i="5" s="1"/>
  <c r="F10" i="5" s="1"/>
  <c r="G10" i="5" s="1"/>
  <c r="B170" i="5"/>
  <c r="C170" i="5" s="1"/>
  <c r="D170" i="5" s="1"/>
  <c r="E170" i="5" s="1"/>
  <c r="F170" i="5" s="1"/>
  <c r="G170" i="5" s="1"/>
  <c r="B135" i="5"/>
  <c r="C135" i="5" s="1"/>
  <c r="D135" i="5" s="1"/>
  <c r="E135" i="5" s="1"/>
  <c r="F135" i="5" s="1"/>
  <c r="G135" i="5" s="1"/>
  <c r="B74" i="5"/>
  <c r="C74" i="5" s="1"/>
  <c r="D74" i="5" s="1"/>
  <c r="E74" i="5" s="1"/>
  <c r="F74" i="5" s="1"/>
  <c r="G74" i="5" s="1"/>
  <c r="B38" i="5"/>
  <c r="C38" i="5" s="1"/>
  <c r="D38" i="5" s="1"/>
  <c r="E38" i="5" s="1"/>
  <c r="F38" i="5" s="1"/>
  <c r="G38" i="5" s="1"/>
  <c r="B105" i="5"/>
  <c r="C105" i="5" s="1"/>
  <c r="D105" i="5" s="1"/>
  <c r="E105" i="5" s="1"/>
  <c r="F105" i="5" s="1"/>
  <c r="G105" i="5" s="1"/>
  <c r="I7" i="34"/>
  <c r="F16" i="10"/>
  <c r="F12" i="38"/>
  <c r="F14" i="38" s="1"/>
  <c r="F18" i="38" s="1"/>
  <c r="AP28" i="17"/>
  <c r="F38" i="36"/>
  <c r="F40" i="36" s="1"/>
  <c r="F47" i="36" s="1"/>
  <c r="F12" i="36"/>
  <c r="F14" i="36" s="1"/>
  <c r="F21" i="36" s="1"/>
  <c r="G25" i="33"/>
  <c r="F22" i="40"/>
  <c r="F24" i="40" s="1"/>
  <c r="F28" i="40" s="1"/>
  <c r="F27" i="40" s="1"/>
  <c r="F30" i="40" s="1"/>
  <c r="J8" i="27"/>
  <c r="J10" i="27" s="1"/>
  <c r="J10" i="28" s="1"/>
  <c r="F84" i="40"/>
  <c r="F86" i="40" s="1"/>
  <c r="F91" i="40" s="1"/>
  <c r="F108" i="40"/>
  <c r="F110" i="40" s="1"/>
  <c r="F130" i="40" s="1"/>
  <c r="F32" i="32"/>
  <c r="F34" i="32" s="1"/>
  <c r="F47" i="32" s="1"/>
  <c r="F46" i="32" s="1"/>
  <c r="F47" i="40"/>
  <c r="F49" i="40" s="1"/>
  <c r="F56" i="40" s="1"/>
  <c r="AP37" i="17"/>
  <c r="AP39" i="17" s="1"/>
  <c r="F54" i="32"/>
  <c r="F56" i="32" s="1"/>
  <c r="F70" i="32" s="1"/>
  <c r="F13" i="32"/>
  <c r="F15" i="32" s="1"/>
  <c r="F24" i="32" s="1"/>
  <c r="F64" i="41"/>
  <c r="F66" i="41" s="1"/>
  <c r="F21" i="41"/>
  <c r="F23" i="41" s="1"/>
  <c r="F33" i="41" s="1"/>
  <c r="C64" i="20"/>
  <c r="C66" i="20" s="1"/>
  <c r="C68" i="20" s="1"/>
  <c r="E68" i="20" s="1"/>
  <c r="E74" i="20" s="1"/>
  <c r="C24" i="20"/>
  <c r="C26" i="20" s="1"/>
  <c r="C28" i="20" s="1"/>
  <c r="E28" i="20" s="1"/>
  <c r="E40" i="20" s="1"/>
  <c r="E191" i="5"/>
  <c r="F40" i="24"/>
  <c r="B67" i="24"/>
  <c r="E15" i="5"/>
  <c r="D191" i="5"/>
  <c r="B97" i="10"/>
  <c r="I95" i="10"/>
  <c r="B99" i="5"/>
  <c r="F37" i="23"/>
  <c r="B64" i="23"/>
  <c r="B17" i="35"/>
  <c r="G17" i="35" s="1"/>
  <c r="G52" i="35" s="1"/>
  <c r="C154" i="5"/>
  <c r="BD14" i="12"/>
  <c r="G12" i="1" s="1"/>
  <c r="M73" i="10"/>
  <c r="F77" i="5"/>
  <c r="D64" i="40"/>
  <c r="D61" i="40"/>
  <c r="D57" i="40"/>
  <c r="D141" i="40"/>
  <c r="D16" i="35"/>
  <c r="G16" i="35" s="1"/>
  <c r="G50" i="35" s="1"/>
  <c r="E153" i="5"/>
  <c r="F25" i="35"/>
  <c r="G25" i="35" s="1"/>
  <c r="G35" i="18" s="1"/>
  <c r="G163" i="5"/>
  <c r="C63" i="40"/>
  <c r="C62" i="40"/>
  <c r="C66" i="40" s="1"/>
  <c r="C40" i="26"/>
  <c r="E40" i="26"/>
  <c r="A41" i="26"/>
  <c r="B27" i="36"/>
  <c r="B28" i="36"/>
  <c r="B62" i="40"/>
  <c r="B63" i="40"/>
  <c r="D69" i="32"/>
  <c r="D71" i="32" s="1"/>
  <c r="C25" i="32"/>
  <c r="C26" i="32"/>
  <c r="B138" i="40"/>
  <c r="B141" i="40" s="1"/>
  <c r="B137" i="40"/>
  <c r="F69" i="32"/>
  <c r="F71" i="32" s="1"/>
  <c r="F37" i="29"/>
  <c r="B64" i="29"/>
  <c r="B16" i="23"/>
  <c r="B33" i="23"/>
  <c r="A60" i="23" s="1"/>
  <c r="C98" i="40"/>
  <c r="C97" i="40"/>
  <c r="C101" i="40" s="1"/>
  <c r="F38" i="29"/>
  <c r="B65" i="29"/>
  <c r="E24" i="31"/>
  <c r="B33" i="41"/>
  <c r="B34" i="41" s="1"/>
  <c r="B15" i="27"/>
  <c r="B32" i="27"/>
  <c r="A59" i="27" s="1"/>
  <c r="B29" i="19"/>
  <c r="B141" i="5"/>
  <c r="B140" i="5" s="1"/>
  <c r="B40" i="41" l="1"/>
  <c r="B41" i="41"/>
  <c r="F99" i="40"/>
  <c r="F96" i="40"/>
  <c r="F92" i="40"/>
  <c r="F44" i="41"/>
  <c r="F37" i="41"/>
  <c r="F45" i="41" s="1"/>
  <c r="C28" i="36"/>
  <c r="C27" i="36"/>
  <c r="F81" i="35"/>
  <c r="A43" i="24"/>
  <c r="E42" i="24"/>
  <c r="C42" i="24"/>
  <c r="BC14" i="12"/>
  <c r="F12" i="1" s="1"/>
  <c r="I97" i="10"/>
  <c r="B101" i="5"/>
  <c r="B129" i="5" s="1"/>
  <c r="F26" i="32"/>
  <c r="F25" i="32"/>
  <c r="I70" i="10"/>
  <c r="I33" i="10"/>
  <c r="D69" i="41"/>
  <c r="E74" i="41"/>
  <c r="B17" i="29"/>
  <c r="B34" i="29"/>
  <c r="A61" i="29" s="1"/>
  <c r="C40" i="23"/>
  <c r="A41" i="23"/>
  <c r="E40" i="23"/>
  <c r="C41" i="26"/>
  <c r="A42" i="26"/>
  <c r="E41" i="26"/>
  <c r="D196" i="5"/>
  <c r="E196" i="5"/>
  <c r="F139" i="40"/>
  <c r="F135" i="40"/>
  <c r="F131" i="40"/>
  <c r="G53" i="33"/>
  <c r="G56" i="33"/>
  <c r="G52" i="33"/>
  <c r="G50" i="33"/>
  <c r="G26" i="33"/>
  <c r="G20" i="33" s="1"/>
  <c r="G19" i="33" s="1"/>
  <c r="G54" i="33"/>
  <c r="G58" i="33"/>
  <c r="G55" i="33"/>
  <c r="G57" i="33"/>
  <c r="G60" i="33"/>
  <c r="G51" i="33"/>
  <c r="F24" i="38"/>
  <c r="F19" i="38"/>
  <c r="F23" i="38" s="1"/>
  <c r="F25" i="38" s="1"/>
  <c r="B35" i="33"/>
  <c r="E36" i="33"/>
  <c r="F36" i="33" s="1"/>
  <c r="G36" i="33" s="1"/>
  <c r="E35" i="33" s="1"/>
  <c r="D26" i="41"/>
  <c r="D31" i="41" s="1"/>
  <c r="E31" i="41"/>
  <c r="C14" i="35"/>
  <c r="D151" i="5"/>
  <c r="F40" i="27"/>
  <c r="B67" i="27"/>
  <c r="E116" i="1"/>
  <c r="D32" i="1"/>
  <c r="C32" i="1"/>
  <c r="C40" i="25"/>
  <c r="A41" i="25"/>
  <c r="E40" i="25"/>
  <c r="C63" i="10"/>
  <c r="C47" i="5"/>
  <c r="F40" i="28"/>
  <c r="B67" i="28"/>
  <c r="B34" i="25"/>
  <c r="A61" i="25" s="1"/>
  <c r="B17" i="25"/>
  <c r="B56" i="18"/>
  <c r="B59" i="18"/>
  <c r="E75" i="10"/>
  <c r="E82" i="1"/>
  <c r="E81" i="1" s="1"/>
  <c r="D48" i="35"/>
  <c r="B101" i="40"/>
  <c r="E22" i="1"/>
  <c r="E20" i="1" s="1"/>
  <c r="B31" i="36"/>
  <c r="I64" i="10"/>
  <c r="F27" i="5"/>
  <c r="F33" i="5" s="1"/>
  <c r="F104" i="10"/>
  <c r="AF30" i="17"/>
  <c r="AF32" i="17" s="1"/>
  <c r="AF34" i="17" s="1"/>
  <c r="E24" i="38"/>
  <c r="E19" i="38"/>
  <c r="E23" i="38" s="1"/>
  <c r="E25" i="38" s="1"/>
  <c r="F32" i="1"/>
  <c r="G79" i="35"/>
  <c r="G15" i="35"/>
  <c r="G49" i="35" s="1"/>
  <c r="B34" i="23"/>
  <c r="A61" i="23" s="1"/>
  <c r="B17" i="23"/>
  <c r="F34" i="41"/>
  <c r="F39" i="41"/>
  <c r="F42" i="41"/>
  <c r="F22" i="36"/>
  <c r="F26" i="36"/>
  <c r="F29" i="36"/>
  <c r="I22" i="10"/>
  <c r="I12" i="10"/>
  <c r="I14" i="10"/>
  <c r="I26" i="10"/>
  <c r="I25" i="10"/>
  <c r="I17" i="10"/>
  <c r="I27" i="10"/>
  <c r="I15" i="10"/>
  <c r="I19" i="10"/>
  <c r="I23" i="10"/>
  <c r="I24" i="10"/>
  <c r="I29" i="10" s="1"/>
  <c r="I18" i="10"/>
  <c r="I28" i="10"/>
  <c r="B123" i="1"/>
  <c r="I13" i="10"/>
  <c r="B67" i="1"/>
  <c r="I16" i="10"/>
  <c r="B34" i="28"/>
  <c r="A61" i="28" s="1"/>
  <c r="B17" i="28"/>
  <c r="F39" i="23"/>
  <c r="B66" i="23"/>
  <c r="D27" i="5"/>
  <c r="D33" i="5" s="1"/>
  <c r="F39" i="25"/>
  <c r="B66" i="25"/>
  <c r="M75" i="10"/>
  <c r="F79" i="5"/>
  <c r="E108" i="1"/>
  <c r="E105" i="1" s="1"/>
  <c r="E151" i="10"/>
  <c r="E152" i="10" s="1"/>
  <c r="C141" i="35"/>
  <c r="E26" i="32"/>
  <c r="E25" i="32"/>
  <c r="F50" i="33"/>
  <c r="F51" i="33"/>
  <c r="H51" i="33" s="1"/>
  <c r="F53" i="33"/>
  <c r="F56" i="33"/>
  <c r="F54" i="33"/>
  <c r="F26" i="33"/>
  <c r="F20" i="33" s="1"/>
  <c r="F58" i="33"/>
  <c r="H58" i="33" s="1"/>
  <c r="F52" i="33"/>
  <c r="H52" i="33" s="1"/>
  <c r="F55" i="33"/>
  <c r="F60" i="33"/>
  <c r="F57" i="33"/>
  <c r="B81" i="35"/>
  <c r="G77" i="35"/>
  <c r="G127" i="35" s="1"/>
  <c r="E63" i="10"/>
  <c r="E47" i="5"/>
  <c r="F41" i="29"/>
  <c r="B68" i="29"/>
  <c r="C31" i="36"/>
  <c r="B16" i="27"/>
  <c r="B33" i="27"/>
  <c r="A60" i="27" s="1"/>
  <c r="F40" i="26"/>
  <c r="B67" i="26"/>
  <c r="D62" i="40"/>
  <c r="D66" i="40" s="1"/>
  <c r="D63" i="40"/>
  <c r="F64" i="40"/>
  <c r="F61" i="40"/>
  <c r="F57" i="40"/>
  <c r="F51" i="36"/>
  <c r="F55" i="36"/>
  <c r="F48" i="36"/>
  <c r="F15" i="5"/>
  <c r="F20" i="10"/>
  <c r="E9" i="33"/>
  <c r="F9" i="33" s="1"/>
  <c r="G9" i="33" s="1"/>
  <c r="E8" i="33" s="1"/>
  <c r="B8" i="33"/>
  <c r="L8" i="1"/>
  <c r="B3" i="22"/>
  <c r="F81" i="41"/>
  <c r="F86" i="41"/>
  <c r="F75" i="41"/>
  <c r="C138" i="40"/>
  <c r="C137" i="40"/>
  <c r="C141" i="40" s="1"/>
  <c r="C41" i="27"/>
  <c r="E41" i="27"/>
  <c r="A42" i="27"/>
  <c r="D63" i="10"/>
  <c r="D47" i="5"/>
  <c r="G27" i="5"/>
  <c r="G33" i="5" s="1"/>
  <c r="C27" i="5"/>
  <c r="C33" i="5" s="1"/>
  <c r="I28" i="19"/>
  <c r="I21" i="19"/>
  <c r="J20" i="19"/>
  <c r="G33" i="10"/>
  <c r="N9" i="10"/>
  <c r="G70" i="10"/>
  <c r="G102" i="10"/>
  <c r="F116" i="35" s="1"/>
  <c r="G116" i="35" s="1"/>
  <c r="G130" i="10"/>
  <c r="F10" i="35"/>
  <c r="G10" i="35" s="1"/>
  <c r="I12" i="34"/>
  <c r="C33" i="41"/>
  <c r="C34" i="41"/>
  <c r="B33" i="24"/>
  <c r="A60" i="24" s="1"/>
  <c r="B16" i="24"/>
  <c r="B46" i="32"/>
  <c r="B48" i="32"/>
  <c r="E14" i="35"/>
  <c r="F151" i="5"/>
  <c r="M33" i="10"/>
  <c r="M70" i="10"/>
  <c r="B66" i="40"/>
  <c r="C140" i="35"/>
  <c r="B139" i="35"/>
  <c r="B138" i="35" s="1"/>
  <c r="G32" i="1"/>
  <c r="F21" i="1"/>
  <c r="G22" i="1" s="1"/>
  <c r="G20" i="1" s="1"/>
  <c r="F17" i="1"/>
  <c r="F18" i="1" s="1"/>
  <c r="F107" i="1"/>
  <c r="G108" i="1" s="1"/>
  <c r="G105" i="1" s="1"/>
  <c r="E78" i="35"/>
  <c r="E81" i="35" s="1"/>
  <c r="E99" i="40"/>
  <c r="E92" i="40"/>
  <c r="E96" i="40"/>
  <c r="E139" i="40"/>
  <c r="E135" i="40"/>
  <c r="E131" i="40"/>
  <c r="E26" i="36"/>
  <c r="E29" i="36"/>
  <c r="E22" i="36"/>
  <c r="F106" i="35"/>
  <c r="G105" i="35"/>
  <c r="G142" i="1"/>
  <c r="G138" i="1" s="1"/>
  <c r="J138" i="1" s="1"/>
  <c r="G64" i="5"/>
  <c r="G68" i="5" s="1"/>
  <c r="G63" i="10"/>
  <c r="E27" i="5"/>
  <c r="E33" i="5" s="1"/>
  <c r="A43" i="29"/>
  <c r="E42" i="29"/>
  <c r="C42" i="29"/>
  <c r="K42" i="29"/>
  <c r="E69" i="29" s="1"/>
  <c r="B14" i="35"/>
  <c r="C151" i="5"/>
  <c r="D25" i="38"/>
  <c r="K75" i="10"/>
  <c r="D79" i="5"/>
  <c r="D116" i="1"/>
  <c r="C116" i="1"/>
  <c r="B42" i="41"/>
  <c r="B39" i="41"/>
  <c r="G104" i="10"/>
  <c r="AP30" i="17"/>
  <c r="AP32" i="17" s="1"/>
  <c r="AP34" i="17" s="1"/>
  <c r="B18" i="26"/>
  <c r="B36" i="26" s="1"/>
  <c r="B35" i="26"/>
  <c r="A62" i="26" s="1"/>
  <c r="C41" i="28"/>
  <c r="A42" i="28"/>
  <c r="E41" i="28"/>
  <c r="F41" i="24"/>
  <c r="B68" i="24"/>
  <c r="B69" i="32"/>
  <c r="B71" i="32" s="1"/>
  <c r="D27" i="36"/>
  <c r="D31" i="36" s="1"/>
  <c r="D28" i="36"/>
  <c r="E64" i="40"/>
  <c r="E61" i="40"/>
  <c r="E57" i="40"/>
  <c r="E55" i="36"/>
  <c r="E51" i="36"/>
  <c r="E48" i="36"/>
  <c r="C20" i="10"/>
  <c r="C51" i="5"/>
  <c r="J75" i="10"/>
  <c r="C79" i="5"/>
  <c r="D54" i="36"/>
  <c r="D57" i="36" s="1"/>
  <c r="D52" i="36"/>
  <c r="B76" i="41"/>
  <c r="B77" i="41"/>
  <c r="B84" i="41" l="1"/>
  <c r="B83" i="41"/>
  <c r="F24" i="35"/>
  <c r="G162" i="5"/>
  <c r="C40" i="41"/>
  <c r="C41" i="41"/>
  <c r="N70" i="10"/>
  <c r="N33" i="10"/>
  <c r="F59" i="33"/>
  <c r="H61" i="33"/>
  <c r="F108" i="1"/>
  <c r="F105" i="1" s="1"/>
  <c r="E52" i="36"/>
  <c r="E54" i="36"/>
  <c r="F42" i="29"/>
  <c r="B69" i="29"/>
  <c r="G30" i="19"/>
  <c r="G69" i="5"/>
  <c r="G174" i="5" s="1"/>
  <c r="E138" i="40"/>
  <c r="E137" i="40"/>
  <c r="E141" i="40" s="1"/>
  <c r="E98" i="40"/>
  <c r="E97" i="40"/>
  <c r="C39" i="41"/>
  <c r="C42" i="41"/>
  <c r="A43" i="27"/>
  <c r="E42" i="27"/>
  <c r="C42" i="27"/>
  <c r="F191" i="5"/>
  <c r="D140" i="35"/>
  <c r="C139" i="35"/>
  <c r="C138" i="35" s="1"/>
  <c r="D34" i="18"/>
  <c r="E158" i="5"/>
  <c r="F40" i="25"/>
  <c r="B67" i="25"/>
  <c r="F138" i="40"/>
  <c r="F137" i="40"/>
  <c r="A44" i="24"/>
  <c r="E43" i="24"/>
  <c r="C43" i="24"/>
  <c r="K43" i="24"/>
  <c r="E70" i="24" s="1"/>
  <c r="F97" i="40"/>
  <c r="F98" i="40"/>
  <c r="E63" i="40"/>
  <c r="E62" i="40"/>
  <c r="G126" i="10"/>
  <c r="F7" i="18"/>
  <c r="F117" i="35"/>
  <c r="F123" i="35" s="1"/>
  <c r="I30" i="19"/>
  <c r="J35" i="19" s="1"/>
  <c r="J37" i="19" s="1"/>
  <c r="F54" i="36"/>
  <c r="F52" i="36"/>
  <c r="F57" i="36" s="1"/>
  <c r="F19" i="33"/>
  <c r="H19" i="33" s="1"/>
  <c r="H20" i="33" s="1"/>
  <c r="H21" i="33"/>
  <c r="F27" i="36"/>
  <c r="F31" i="36" s="1"/>
  <c r="F28" i="36"/>
  <c r="C41" i="25"/>
  <c r="A42" i="25"/>
  <c r="E41" i="25"/>
  <c r="D44" i="41"/>
  <c r="D37" i="41"/>
  <c r="D45" i="41" s="1"/>
  <c r="D32" i="41"/>
  <c r="F41" i="26"/>
  <c r="B68" i="26"/>
  <c r="D74" i="41"/>
  <c r="C69" i="41"/>
  <c r="C74" i="41" s="1"/>
  <c r="B85" i="41"/>
  <c r="B82" i="41"/>
  <c r="E66" i="40"/>
  <c r="E42" i="28"/>
  <c r="A43" i="28"/>
  <c r="C42" i="28"/>
  <c r="C191" i="5"/>
  <c r="E57" i="36"/>
  <c r="F41" i="28"/>
  <c r="B68" i="28"/>
  <c r="B37" i="26"/>
  <c r="A63" i="26"/>
  <c r="E28" i="36"/>
  <c r="E27" i="36"/>
  <c r="E31" i="36" s="1"/>
  <c r="J20" i="1"/>
  <c r="F34" i="18"/>
  <c r="G158" i="5"/>
  <c r="B34" i="24"/>
  <c r="A61" i="24" s="1"/>
  <c r="B17" i="24"/>
  <c r="J21" i="19"/>
  <c r="K20" i="19"/>
  <c r="J28" i="19"/>
  <c r="F76" i="41"/>
  <c r="B17" i="27"/>
  <c r="B34" i="27"/>
  <c r="A61" i="27" s="1"/>
  <c r="H56" i="33"/>
  <c r="F151" i="10"/>
  <c r="D141" i="35"/>
  <c r="F22" i="1"/>
  <c r="F20" i="1" s="1"/>
  <c r="D14" i="35"/>
  <c r="G14" i="35" s="1"/>
  <c r="G48" i="35" s="1"/>
  <c r="E151" i="5"/>
  <c r="B35" i="25"/>
  <c r="A62" i="25" s="1"/>
  <c r="B18" i="25"/>
  <c r="B36" i="25" s="1"/>
  <c r="F141" i="40"/>
  <c r="C41" i="23"/>
  <c r="E41" i="23"/>
  <c r="A42" i="23"/>
  <c r="B18" i="29"/>
  <c r="B36" i="29" s="1"/>
  <c r="B35" i="29"/>
  <c r="A62" i="29" s="1"/>
  <c r="F101" i="40"/>
  <c r="E101" i="40"/>
  <c r="B35" i="23"/>
  <c r="A62" i="23" s="1"/>
  <c r="B18" i="23"/>
  <c r="B36" i="23" s="1"/>
  <c r="C43" i="29"/>
  <c r="K43" i="29"/>
  <c r="E70" i="29" s="1"/>
  <c r="E43" i="29"/>
  <c r="A44" i="29"/>
  <c r="F41" i="27"/>
  <c r="B68" i="27"/>
  <c r="F63" i="40"/>
  <c r="F62" i="40"/>
  <c r="F66" i="40" s="1"/>
  <c r="H57" i="33"/>
  <c r="D24" i="35"/>
  <c r="E162" i="5"/>
  <c r="B18" i="28"/>
  <c r="B36" i="28" s="1"/>
  <c r="B35" i="28"/>
  <c r="A62" i="28" s="1"/>
  <c r="F40" i="41"/>
  <c r="F41" i="41"/>
  <c r="F126" i="10"/>
  <c r="E7" i="18"/>
  <c r="E117" i="35"/>
  <c r="E123" i="35" s="1"/>
  <c r="L75" i="10"/>
  <c r="E79" i="5"/>
  <c r="E37" i="41"/>
  <c r="E45" i="41" s="1"/>
  <c r="E44" i="41"/>
  <c r="E32" i="41"/>
  <c r="G59" i="33"/>
  <c r="A43" i="26"/>
  <c r="E42" i="26"/>
  <c r="C42" i="26"/>
  <c r="F40" i="23"/>
  <c r="B67" i="23"/>
  <c r="E86" i="41"/>
  <c r="E75" i="41"/>
  <c r="E81" i="41"/>
  <c r="F42" i="24"/>
  <c r="B69" i="24"/>
  <c r="I29" i="19" l="1"/>
  <c r="A43" i="23"/>
  <c r="E42" i="23"/>
  <c r="C42" i="23"/>
  <c r="F85" i="41"/>
  <c r="F82" i="41"/>
  <c r="C196" i="5"/>
  <c r="F196" i="5"/>
  <c r="E33" i="41"/>
  <c r="E34" i="41" s="1"/>
  <c r="E10" i="18"/>
  <c r="E30" i="18" s="1"/>
  <c r="E58" i="18"/>
  <c r="F43" i="29"/>
  <c r="B70" i="29"/>
  <c r="A63" i="25"/>
  <c r="B37" i="25"/>
  <c r="E34" i="18"/>
  <c r="F158" i="5"/>
  <c r="E140" i="35"/>
  <c r="D139" i="35"/>
  <c r="D138" i="35" s="1"/>
  <c r="B18" i="27"/>
  <c r="B36" i="27" s="1"/>
  <c r="B35" i="27"/>
  <c r="A62" i="27" s="1"/>
  <c r="J30" i="19"/>
  <c r="K35" i="19" s="1"/>
  <c r="K37" i="19" s="1"/>
  <c r="J105" i="1"/>
  <c r="E43" i="28"/>
  <c r="A44" i="28"/>
  <c r="C43" i="28"/>
  <c r="K43" i="28"/>
  <c r="E70" i="28" s="1"/>
  <c r="A43" i="25"/>
  <c r="E42" i="25"/>
  <c r="C42" i="25"/>
  <c r="A45" i="24"/>
  <c r="E44" i="24"/>
  <c r="C44" i="24"/>
  <c r="K44" i="24"/>
  <c r="E71" i="24" s="1"/>
  <c r="E24" i="35"/>
  <c r="F162" i="5"/>
  <c r="F42" i="26"/>
  <c r="B69" i="26"/>
  <c r="B18" i="24"/>
  <c r="B36" i="24" s="1"/>
  <c r="B35" i="24"/>
  <c r="A62" i="24" s="1"/>
  <c r="F42" i="28"/>
  <c r="B69" i="28"/>
  <c r="D33" i="41"/>
  <c r="G127" i="10"/>
  <c r="G56" i="1"/>
  <c r="G150" i="10"/>
  <c r="F42" i="27"/>
  <c r="B69" i="27"/>
  <c r="E76" i="41"/>
  <c r="A44" i="26"/>
  <c r="E43" i="26"/>
  <c r="C43" i="26"/>
  <c r="K43" i="26"/>
  <c r="E70" i="26" s="1"/>
  <c r="F127" i="10"/>
  <c r="F150" i="10"/>
  <c r="F152" i="10" s="1"/>
  <c r="F56" i="1"/>
  <c r="A45" i="29"/>
  <c r="C44" i="29"/>
  <c r="K44" i="29"/>
  <c r="E71" i="29" s="1"/>
  <c r="E44" i="29"/>
  <c r="A63" i="29"/>
  <c r="B37" i="29"/>
  <c r="F41" i="23"/>
  <c r="B68" i="23"/>
  <c r="K21" i="19"/>
  <c r="L20" i="19"/>
  <c r="K28" i="19"/>
  <c r="A64" i="26"/>
  <c r="B38" i="26"/>
  <c r="C86" i="41"/>
  <c r="C75" i="41"/>
  <c r="C81" i="41"/>
  <c r="F41" i="25"/>
  <c r="B68" i="25"/>
  <c r="A44" i="27"/>
  <c r="E43" i="27"/>
  <c r="C43" i="27"/>
  <c r="K43" i="27"/>
  <c r="E70" i="27" s="1"/>
  <c r="A63" i="28"/>
  <c r="B37" i="28"/>
  <c r="A63" i="23"/>
  <c r="B37" i="23"/>
  <c r="F77" i="41"/>
  <c r="D75" i="41"/>
  <c r="D81" i="41"/>
  <c r="D86" i="41"/>
  <c r="G22" i="35"/>
  <c r="H15" i="19"/>
  <c r="F10" i="18"/>
  <c r="F30" i="18" s="1"/>
  <c r="F58" i="18"/>
  <c r="F43" i="24"/>
  <c r="B70" i="24"/>
  <c r="B13" i="21"/>
  <c r="H44" i="19"/>
  <c r="H35" i="19"/>
  <c r="H37" i="19" s="1"/>
  <c r="H59" i="33"/>
  <c r="H60" i="33" s="1"/>
  <c r="E40" i="41" l="1"/>
  <c r="E41" i="41"/>
  <c r="A65" i="26"/>
  <c r="B39" i="26"/>
  <c r="B38" i="29"/>
  <c r="A64" i="29"/>
  <c r="B71" i="29"/>
  <c r="F44" i="29"/>
  <c r="E82" i="41"/>
  <c r="E85" i="41"/>
  <c r="D42" i="41"/>
  <c r="D39" i="41"/>
  <c r="F44" i="24"/>
  <c r="B71" i="24"/>
  <c r="F42" i="25"/>
  <c r="B69" i="25"/>
  <c r="F43" i="28"/>
  <c r="B70" i="28"/>
  <c r="A63" i="27"/>
  <c r="B37" i="27"/>
  <c r="F43" i="27"/>
  <c r="B70" i="27"/>
  <c r="C76" i="41"/>
  <c r="C77" i="41" s="1"/>
  <c r="A46" i="29"/>
  <c r="C45" i="29"/>
  <c r="K45" i="29"/>
  <c r="E72" i="29" s="1"/>
  <c r="E45" i="29"/>
  <c r="A45" i="26"/>
  <c r="E44" i="26"/>
  <c r="C44" i="26"/>
  <c r="K44" i="26"/>
  <c r="E71" i="26" s="1"/>
  <c r="A63" i="24"/>
  <c r="B37" i="24"/>
  <c r="E44" i="28"/>
  <c r="A45" i="28"/>
  <c r="C44" i="28"/>
  <c r="K44" i="28"/>
  <c r="E71" i="28" s="1"/>
  <c r="J29" i="19"/>
  <c r="F42" i="23"/>
  <c r="B69" i="23"/>
  <c r="F31" i="18"/>
  <c r="F51" i="18"/>
  <c r="F55" i="18" s="1"/>
  <c r="A64" i="28"/>
  <c r="B38" i="28"/>
  <c r="K30" i="19"/>
  <c r="L35" i="19" s="1"/>
  <c r="L37" i="19" s="1"/>
  <c r="A46" i="24"/>
  <c r="E45" i="24"/>
  <c r="C45" i="24"/>
  <c r="K45" i="24"/>
  <c r="E72" i="24" s="1"/>
  <c r="A44" i="25"/>
  <c r="E43" i="25"/>
  <c r="C43" i="25"/>
  <c r="K43" i="25"/>
  <c r="E70" i="25" s="1"/>
  <c r="B38" i="25"/>
  <c r="A64" i="25"/>
  <c r="E31" i="18"/>
  <c r="E51" i="18"/>
  <c r="E55" i="18" s="1"/>
  <c r="E32" i="18"/>
  <c r="F32" i="18"/>
  <c r="I15" i="19"/>
  <c r="I22" i="19" s="1"/>
  <c r="I24" i="19" s="1"/>
  <c r="J15" i="19"/>
  <c r="J22" i="19" s="1"/>
  <c r="J24" i="19" s="1"/>
  <c r="K15" i="19"/>
  <c r="L15" i="19"/>
  <c r="M15" i="19"/>
  <c r="D76" i="41"/>
  <c r="D77" i="41" s="1"/>
  <c r="F83" i="41"/>
  <c r="F88" i="41" s="1"/>
  <c r="F84" i="41"/>
  <c r="A45" i="27"/>
  <c r="E44" i="27"/>
  <c r="C44" i="27"/>
  <c r="K44" i="27"/>
  <c r="E71" i="27" s="1"/>
  <c r="M20" i="19"/>
  <c r="L28" i="19"/>
  <c r="L21" i="19"/>
  <c r="F43" i="26"/>
  <c r="B70" i="26"/>
  <c r="E77" i="41"/>
  <c r="D34" i="41"/>
  <c r="A44" i="23"/>
  <c r="E43" i="23"/>
  <c r="C43" i="23"/>
  <c r="K43" i="23"/>
  <c r="E70" i="23" s="1"/>
  <c r="D13" i="21"/>
  <c r="D14" i="21" s="1"/>
  <c r="F14" i="21" s="1"/>
  <c r="F13" i="21"/>
  <c r="A64" i="23"/>
  <c r="B38" i="23"/>
  <c r="K24" i="19"/>
  <c r="K22" i="19"/>
  <c r="G151" i="10"/>
  <c r="E141" i="35"/>
  <c r="G152" i="10"/>
  <c r="F141" i="35" s="1"/>
  <c r="E42" i="41"/>
  <c r="E39" i="41"/>
  <c r="K29" i="19" l="1"/>
  <c r="C84" i="41"/>
  <c r="C83" i="41"/>
  <c r="D83" i="41"/>
  <c r="D84" i="41"/>
  <c r="K34" i="19"/>
  <c r="K38" i="19" s="1"/>
  <c r="K41" i="19" s="1"/>
  <c r="K31" i="19"/>
  <c r="F43" i="23"/>
  <c r="B70" i="23"/>
  <c r="A46" i="27"/>
  <c r="E45" i="27"/>
  <c r="C45" i="27"/>
  <c r="K45" i="27"/>
  <c r="E72" i="27" s="1"/>
  <c r="L22" i="19"/>
  <c r="L24" i="19"/>
  <c r="F44" i="27"/>
  <c r="B71" i="27"/>
  <c r="E59" i="18"/>
  <c r="E56" i="18"/>
  <c r="L30" i="19"/>
  <c r="M35" i="19" s="1"/>
  <c r="M37" i="19" s="1"/>
  <c r="F43" i="25"/>
  <c r="B70" i="25"/>
  <c r="F45" i="24"/>
  <c r="B72" i="24"/>
  <c r="F59" i="18"/>
  <c r="F56" i="18"/>
  <c r="A64" i="24"/>
  <c r="B38" i="24"/>
  <c r="F44" i="26"/>
  <c r="B71" i="26"/>
  <c r="A64" i="27"/>
  <c r="B38" i="27"/>
  <c r="B39" i="29"/>
  <c r="A65" i="29"/>
  <c r="G140" i="35"/>
  <c r="D41" i="41"/>
  <c r="D40" i="41"/>
  <c r="M21" i="19"/>
  <c r="M28" i="19"/>
  <c r="D82" i="41"/>
  <c r="D88" i="41" s="1"/>
  <c r="D85" i="41"/>
  <c r="J34" i="19"/>
  <c r="J38" i="19" s="1"/>
  <c r="J41" i="19" s="1"/>
  <c r="J31" i="19"/>
  <c r="B39" i="28"/>
  <c r="A65" i="28"/>
  <c r="F44" i="28"/>
  <c r="B71" i="28"/>
  <c r="F45" i="29"/>
  <c r="B72" i="29"/>
  <c r="C82" i="41"/>
  <c r="C85" i="41"/>
  <c r="A66" i="26"/>
  <c r="B40" i="26"/>
  <c r="F140" i="35"/>
  <c r="F139" i="35" s="1"/>
  <c r="F138" i="35" s="1"/>
  <c r="E139" i="35"/>
  <c r="E138" i="35" s="1"/>
  <c r="B39" i="23"/>
  <c r="A65" i="23"/>
  <c r="E84" i="41"/>
  <c r="E83" i="41"/>
  <c r="I34" i="19"/>
  <c r="B39" i="25"/>
  <c r="A65" i="25"/>
  <c r="A45" i="25"/>
  <c r="E44" i="25"/>
  <c r="C44" i="25"/>
  <c r="K44" i="25"/>
  <c r="E71" i="25" s="1"/>
  <c r="A47" i="24"/>
  <c r="E46" i="24"/>
  <c r="C46" i="24"/>
  <c r="K46" i="24"/>
  <c r="E73" i="24" s="1"/>
  <c r="E45" i="28"/>
  <c r="A46" i="28"/>
  <c r="C45" i="28"/>
  <c r="K45" i="28"/>
  <c r="E72" i="28" s="1"/>
  <c r="A46" i="26"/>
  <c r="E45" i="26"/>
  <c r="C45" i="26"/>
  <c r="K45" i="26"/>
  <c r="E72" i="26" s="1"/>
  <c r="A47" i="29"/>
  <c r="K46" i="29"/>
  <c r="E73" i="29" s="1"/>
  <c r="C46" i="29"/>
  <c r="E46" i="29"/>
  <c r="A45" i="23"/>
  <c r="E44" i="23"/>
  <c r="C44" i="23"/>
  <c r="K44" i="23"/>
  <c r="E71" i="23" s="1"/>
  <c r="E88" i="41"/>
  <c r="L29" i="19" l="1"/>
  <c r="A67" i="26"/>
  <c r="B41" i="26"/>
  <c r="L34" i="19"/>
  <c r="L38" i="19" s="1"/>
  <c r="L41" i="19" s="1"/>
  <c r="L31" i="19"/>
  <c r="F46" i="29"/>
  <c r="B73" i="29"/>
  <c r="F45" i="26"/>
  <c r="B72" i="26"/>
  <c r="F45" i="28"/>
  <c r="B72" i="28"/>
  <c r="F46" i="24"/>
  <c r="B73" i="24"/>
  <c r="F44" i="25"/>
  <c r="B71" i="25"/>
  <c r="A66" i="25"/>
  <c r="B40" i="25"/>
  <c r="C88" i="41"/>
  <c r="F45" i="27"/>
  <c r="B72" i="27"/>
  <c r="A46" i="23"/>
  <c r="E45" i="23"/>
  <c r="C45" i="23"/>
  <c r="K45" i="23"/>
  <c r="E72" i="23" s="1"/>
  <c r="E46" i="28"/>
  <c r="A47" i="28"/>
  <c r="C46" i="28"/>
  <c r="K46" i="28"/>
  <c r="E73" i="28" s="1"/>
  <c r="A48" i="29"/>
  <c r="C47" i="29"/>
  <c r="K47" i="29"/>
  <c r="E74" i="29" s="1"/>
  <c r="E47" i="29"/>
  <c r="A47" i="26"/>
  <c r="E46" i="26"/>
  <c r="C46" i="26"/>
  <c r="K46" i="26"/>
  <c r="E73" i="26" s="1"/>
  <c r="A48" i="24"/>
  <c r="E47" i="24"/>
  <c r="C47" i="24"/>
  <c r="K47" i="24"/>
  <c r="E74" i="24" s="1"/>
  <c r="A46" i="25"/>
  <c r="E45" i="25"/>
  <c r="C45" i="25"/>
  <c r="K45" i="25"/>
  <c r="E72" i="25" s="1"/>
  <c r="B40" i="23"/>
  <c r="A66" i="23"/>
  <c r="M30" i="19"/>
  <c r="M29" i="19" s="1"/>
  <c r="A65" i="27"/>
  <c r="B39" i="27"/>
  <c r="A47" i="27"/>
  <c r="E46" i="27"/>
  <c r="C46" i="27"/>
  <c r="K46" i="27"/>
  <c r="E73" i="27" s="1"/>
  <c r="B40" i="28"/>
  <c r="A66" i="28"/>
  <c r="B40" i="29"/>
  <c r="A66" i="29"/>
  <c r="F44" i="23"/>
  <c r="B71" i="23"/>
  <c r="M24" i="19"/>
  <c r="M22" i="19"/>
  <c r="A65" i="24"/>
  <c r="B39" i="24"/>
  <c r="F45" i="25" l="1"/>
  <c r="B72" i="25"/>
  <c r="F46" i="26"/>
  <c r="B73" i="26"/>
  <c r="F46" i="28"/>
  <c r="B73" i="28"/>
  <c r="B41" i="25"/>
  <c r="A67" i="25"/>
  <c r="B41" i="29"/>
  <c r="A67" i="29"/>
  <c r="F47" i="29"/>
  <c r="B74" i="29"/>
  <c r="E47" i="28"/>
  <c r="A48" i="28"/>
  <c r="C47" i="28"/>
  <c r="K47" i="28"/>
  <c r="E74" i="28" s="1"/>
  <c r="A47" i="25"/>
  <c r="E46" i="25"/>
  <c r="C46" i="25"/>
  <c r="K46" i="25"/>
  <c r="E73" i="25" s="1"/>
  <c r="A49" i="24"/>
  <c r="E48" i="24"/>
  <c r="C48" i="24"/>
  <c r="K48" i="24"/>
  <c r="E75" i="24" s="1"/>
  <c r="A48" i="26"/>
  <c r="E47" i="26"/>
  <c r="C47" i="26"/>
  <c r="K47" i="26"/>
  <c r="E74" i="26" s="1"/>
  <c r="C48" i="29"/>
  <c r="K48" i="29"/>
  <c r="E75" i="29" s="1"/>
  <c r="E48" i="29"/>
  <c r="A49" i="29"/>
  <c r="A47" i="23"/>
  <c r="E46" i="23"/>
  <c r="C46" i="23"/>
  <c r="K46" i="23"/>
  <c r="E73" i="23" s="1"/>
  <c r="M34" i="19"/>
  <c r="M38" i="19" s="1"/>
  <c r="H43" i="19" s="1"/>
  <c r="N43" i="19" s="1"/>
  <c r="M31" i="19"/>
  <c r="A66" i="27"/>
  <c r="B40" i="27"/>
  <c r="F47" i="24"/>
  <c r="B74" i="24"/>
  <c r="F45" i="23"/>
  <c r="B72" i="23"/>
  <c r="B42" i="26"/>
  <c r="A68" i="26"/>
  <c r="B40" i="24"/>
  <c r="A66" i="24"/>
  <c r="F46" i="27"/>
  <c r="B73" i="27"/>
  <c r="B41" i="23"/>
  <c r="A67" i="23"/>
  <c r="B41" i="28"/>
  <c r="A67" i="28"/>
  <c r="A48" i="27"/>
  <c r="E47" i="27"/>
  <c r="C47" i="27"/>
  <c r="K47" i="27"/>
  <c r="E74" i="27" s="1"/>
  <c r="F47" i="27" l="1"/>
  <c r="B74" i="27"/>
  <c r="A68" i="28"/>
  <c r="B42" i="28"/>
  <c r="A67" i="24"/>
  <c r="B41" i="24"/>
  <c r="E48" i="28"/>
  <c r="A49" i="28"/>
  <c r="C48" i="28"/>
  <c r="K48" i="28"/>
  <c r="E75" i="28" s="1"/>
  <c r="B42" i="25"/>
  <c r="A68" i="25"/>
  <c r="A48" i="23"/>
  <c r="E47" i="23"/>
  <c r="C47" i="23"/>
  <c r="K47" i="23"/>
  <c r="E74" i="23" s="1"/>
  <c r="A49" i="26"/>
  <c r="E48" i="26"/>
  <c r="C48" i="26"/>
  <c r="K48" i="26"/>
  <c r="E75" i="26" s="1"/>
  <c r="A49" i="27"/>
  <c r="E48" i="27"/>
  <c r="C48" i="27"/>
  <c r="K48" i="27"/>
  <c r="E75" i="27" s="1"/>
  <c r="A68" i="23"/>
  <c r="B42" i="23"/>
  <c r="A69" i="26"/>
  <c r="B43" i="26"/>
  <c r="A50" i="29"/>
  <c r="C49" i="29"/>
  <c r="K49" i="29"/>
  <c r="E76" i="29" s="1"/>
  <c r="E49" i="29"/>
  <c r="B42" i="29"/>
  <c r="A68" i="29"/>
  <c r="B41" i="27"/>
  <c r="A67" i="27"/>
  <c r="F48" i="29"/>
  <c r="B75" i="29"/>
  <c r="A50" i="24"/>
  <c r="E49" i="24"/>
  <c r="C49" i="24"/>
  <c r="K49" i="24"/>
  <c r="E76" i="24" s="1"/>
  <c r="A48" i="25"/>
  <c r="E47" i="25"/>
  <c r="C47" i="25"/>
  <c r="K47" i="25"/>
  <c r="E74" i="25" s="1"/>
  <c r="F46" i="23"/>
  <c r="B73" i="23"/>
  <c r="F47" i="26"/>
  <c r="B74" i="26"/>
  <c r="F48" i="24"/>
  <c r="B75" i="24"/>
  <c r="F46" i="25"/>
  <c r="B73" i="25"/>
  <c r="F47" i="28"/>
  <c r="B74" i="28"/>
  <c r="A69" i="29" l="1"/>
  <c r="B43" i="29"/>
  <c r="A50" i="27"/>
  <c r="E49" i="27"/>
  <c r="C49" i="27"/>
  <c r="K49" i="27"/>
  <c r="E76" i="27" s="1"/>
  <c r="F48" i="28"/>
  <c r="B75" i="28"/>
  <c r="A51" i="24"/>
  <c r="E50" i="24"/>
  <c r="C50" i="24"/>
  <c r="K50" i="24"/>
  <c r="E77" i="24" s="1"/>
  <c r="A69" i="28"/>
  <c r="B43" i="28"/>
  <c r="A68" i="27"/>
  <c r="B42" i="27"/>
  <c r="F48" i="27"/>
  <c r="B75" i="27"/>
  <c r="F48" i="26"/>
  <c r="B75" i="26"/>
  <c r="F47" i="23"/>
  <c r="B74" i="23"/>
  <c r="A69" i="25"/>
  <c r="B43" i="25"/>
  <c r="A51" i="29"/>
  <c r="C50" i="29"/>
  <c r="K50" i="29"/>
  <c r="E77" i="29" s="1"/>
  <c r="E50" i="29"/>
  <c r="A50" i="26"/>
  <c r="E49" i="26"/>
  <c r="C49" i="26"/>
  <c r="K49" i="26"/>
  <c r="E76" i="26" s="1"/>
  <c r="A49" i="23"/>
  <c r="E48" i="23"/>
  <c r="C48" i="23"/>
  <c r="K48" i="23"/>
  <c r="E75" i="23" s="1"/>
  <c r="A49" i="25"/>
  <c r="E48" i="25"/>
  <c r="C48" i="25"/>
  <c r="K48" i="25"/>
  <c r="E75" i="25" s="1"/>
  <c r="A70" i="26"/>
  <c r="B44" i="26"/>
  <c r="E49" i="28"/>
  <c r="A50" i="28"/>
  <c r="C49" i="28"/>
  <c r="K49" i="28"/>
  <c r="E76" i="28" s="1"/>
  <c r="F47" i="25"/>
  <c r="B74" i="25"/>
  <c r="F49" i="24"/>
  <c r="B76" i="24"/>
  <c r="B76" i="29"/>
  <c r="F49" i="29"/>
  <c r="A69" i="23"/>
  <c r="B43" i="23"/>
  <c r="A68" i="24"/>
  <c r="B42" i="24"/>
  <c r="E51" i="24" l="1"/>
  <c r="C51" i="24"/>
  <c r="K51" i="24"/>
  <c r="E78" i="24" s="1"/>
  <c r="B44" i="29"/>
  <c r="A70" i="29"/>
  <c r="E49" i="23"/>
  <c r="C49" i="23"/>
  <c r="A50" i="23"/>
  <c r="K49" i="23"/>
  <c r="E76" i="23" s="1"/>
  <c r="C51" i="29"/>
  <c r="K51" i="29"/>
  <c r="E78" i="29" s="1"/>
  <c r="E51" i="29"/>
  <c r="A69" i="27"/>
  <c r="B43" i="27"/>
  <c r="F49" i="27"/>
  <c r="B76" i="27"/>
  <c r="E50" i="28"/>
  <c r="A51" i="28"/>
  <c r="C50" i="28"/>
  <c r="K50" i="28"/>
  <c r="E77" i="28" s="1"/>
  <c r="B44" i="25"/>
  <c r="A70" i="25"/>
  <c r="F50" i="24"/>
  <c r="B77" i="24"/>
  <c r="B45" i="26"/>
  <c r="A71" i="26"/>
  <c r="F50" i="29"/>
  <c r="B77" i="29"/>
  <c r="B44" i="23"/>
  <c r="A70" i="23"/>
  <c r="F49" i="28"/>
  <c r="B76" i="28"/>
  <c r="A50" i="25"/>
  <c r="E49" i="25"/>
  <c r="C49" i="25"/>
  <c r="K49" i="25"/>
  <c r="E76" i="25" s="1"/>
  <c r="A51" i="26"/>
  <c r="E50" i="26"/>
  <c r="C50" i="26"/>
  <c r="K50" i="26"/>
  <c r="E77" i="26" s="1"/>
  <c r="A69" i="24"/>
  <c r="B43" i="24"/>
  <c r="F48" i="25"/>
  <c r="B75" i="25"/>
  <c r="F48" i="23"/>
  <c r="B75" i="23"/>
  <c r="F49" i="26"/>
  <c r="B76" i="26"/>
  <c r="B44" i="28"/>
  <c r="A70" i="28"/>
  <c r="A51" i="27"/>
  <c r="E50" i="27"/>
  <c r="C50" i="27"/>
  <c r="K50" i="27"/>
  <c r="E77" i="27" s="1"/>
  <c r="E51" i="26" l="1"/>
  <c r="C51" i="26"/>
  <c r="K51" i="26"/>
  <c r="E78" i="26" s="1"/>
  <c r="F50" i="27"/>
  <c r="B77" i="27"/>
  <c r="B45" i="28"/>
  <c r="A71" i="28"/>
  <c r="B45" i="23"/>
  <c r="A71" i="23"/>
  <c r="F50" i="28"/>
  <c r="B77" i="28"/>
  <c r="E50" i="23"/>
  <c r="C50" i="23"/>
  <c r="A51" i="23"/>
  <c r="K50" i="23"/>
  <c r="E77" i="23" s="1"/>
  <c r="B45" i="29"/>
  <c r="A71" i="29"/>
  <c r="E51" i="27"/>
  <c r="C51" i="27"/>
  <c r="K51" i="27"/>
  <c r="E78" i="27" s="1"/>
  <c r="B44" i="24"/>
  <c r="A70" i="24"/>
  <c r="A71" i="25"/>
  <c r="B45" i="25"/>
  <c r="B44" i="27"/>
  <c r="A70" i="27"/>
  <c r="B78" i="29"/>
  <c r="B79" i="29" s="1"/>
  <c r="F51" i="29"/>
  <c r="F52" i="29" s="1"/>
  <c r="I31" i="29" s="1"/>
  <c r="C52" i="29"/>
  <c r="F51" i="24"/>
  <c r="F52" i="24" s="1"/>
  <c r="I31" i="24" s="1"/>
  <c r="B78" i="24"/>
  <c r="B79" i="24" s="1"/>
  <c r="C52" i="24"/>
  <c r="A51" i="25"/>
  <c r="E50" i="25"/>
  <c r="C50" i="25"/>
  <c r="K50" i="25"/>
  <c r="E77" i="25" s="1"/>
  <c r="F50" i="26"/>
  <c r="B77" i="26"/>
  <c r="F49" i="25"/>
  <c r="B76" i="25"/>
  <c r="A72" i="26"/>
  <c r="B46" i="26"/>
  <c r="E51" i="28"/>
  <c r="C51" i="28"/>
  <c r="K51" i="28"/>
  <c r="E78" i="28" s="1"/>
  <c r="F49" i="23"/>
  <c r="B76" i="23"/>
  <c r="J31" i="24" l="1"/>
  <c r="G32" i="24"/>
  <c r="K34" i="24"/>
  <c r="E61" i="24" s="1"/>
  <c r="K40" i="24"/>
  <c r="E67" i="24" s="1"/>
  <c r="K39" i="24"/>
  <c r="E66" i="24" s="1"/>
  <c r="K37" i="24"/>
  <c r="E64" i="24" s="1"/>
  <c r="K38" i="24"/>
  <c r="E65" i="24" s="1"/>
  <c r="K35" i="24"/>
  <c r="E62" i="24" s="1"/>
  <c r="K36" i="24"/>
  <c r="E63" i="24" s="1"/>
  <c r="K33" i="24"/>
  <c r="E60" i="24" s="1"/>
  <c r="K32" i="24"/>
  <c r="K41" i="24"/>
  <c r="E68" i="24" s="1"/>
  <c r="K42" i="24"/>
  <c r="E69" i="24" s="1"/>
  <c r="F51" i="27"/>
  <c r="F52" i="27" s="1"/>
  <c r="I31" i="27" s="1"/>
  <c r="B78" i="27"/>
  <c r="B79" i="27" s="1"/>
  <c r="C52" i="27"/>
  <c r="A72" i="23"/>
  <c r="B46" i="23"/>
  <c r="E51" i="23"/>
  <c r="C51" i="23"/>
  <c r="K51" i="23"/>
  <c r="E78" i="23" s="1"/>
  <c r="F50" i="25"/>
  <c r="B77" i="25"/>
  <c r="G32" i="29"/>
  <c r="K39" i="29"/>
  <c r="E66" i="29" s="1"/>
  <c r="J31" i="29"/>
  <c r="K35" i="29"/>
  <c r="E62" i="29" s="1"/>
  <c r="K32" i="29"/>
  <c r="K40" i="29"/>
  <c r="E67" i="29" s="1"/>
  <c r="K33" i="29"/>
  <c r="E60" i="29" s="1"/>
  <c r="K38" i="29"/>
  <c r="E65" i="29" s="1"/>
  <c r="K37" i="29"/>
  <c r="E64" i="29" s="1"/>
  <c r="K36" i="29"/>
  <c r="E63" i="29" s="1"/>
  <c r="K34" i="29"/>
  <c r="E61" i="29" s="1"/>
  <c r="B45" i="27"/>
  <c r="A71" i="27"/>
  <c r="B45" i="24"/>
  <c r="A71" i="24"/>
  <c r="F50" i="23"/>
  <c r="B77" i="23"/>
  <c r="B46" i="28"/>
  <c r="A72" i="28"/>
  <c r="C51" i="25"/>
  <c r="E51" i="25"/>
  <c r="K51" i="25"/>
  <c r="E78" i="25" s="1"/>
  <c r="A73" i="26"/>
  <c r="B47" i="26"/>
  <c r="F51" i="28"/>
  <c r="F52" i="28" s="1"/>
  <c r="I31" i="28" s="1"/>
  <c r="B78" i="28"/>
  <c r="B79" i="28" s="1"/>
  <c r="C52" i="28"/>
  <c r="B46" i="25"/>
  <c r="A72" i="25"/>
  <c r="B46" i="29"/>
  <c r="A72" i="29"/>
  <c r="F51" i="26"/>
  <c r="F52" i="26" s="1"/>
  <c r="I31" i="26" s="1"/>
  <c r="B78" i="26"/>
  <c r="B79" i="26" s="1"/>
  <c r="C52" i="26"/>
  <c r="B47" i="29" l="1"/>
  <c r="A73" i="29"/>
  <c r="A72" i="27"/>
  <c r="B46" i="27"/>
  <c r="A73" i="23"/>
  <c r="B47" i="23"/>
  <c r="E59" i="24"/>
  <c r="K52" i="24"/>
  <c r="J31" i="27"/>
  <c r="G32" i="27"/>
  <c r="K32" i="27"/>
  <c r="K34" i="27"/>
  <c r="E61" i="27" s="1"/>
  <c r="K37" i="27"/>
  <c r="E64" i="27" s="1"/>
  <c r="K33" i="27"/>
  <c r="E60" i="27" s="1"/>
  <c r="K39" i="27"/>
  <c r="E66" i="27" s="1"/>
  <c r="K35" i="27"/>
  <c r="E62" i="27" s="1"/>
  <c r="K36" i="27"/>
  <c r="E63" i="27" s="1"/>
  <c r="K38" i="27"/>
  <c r="E65" i="27" s="1"/>
  <c r="K40" i="27"/>
  <c r="E67" i="27" s="1"/>
  <c r="K41" i="27"/>
  <c r="E68" i="27" s="1"/>
  <c r="K42" i="27"/>
  <c r="E69" i="27" s="1"/>
  <c r="G32" i="26"/>
  <c r="J31" i="26"/>
  <c r="K32" i="26"/>
  <c r="K35" i="26"/>
  <c r="E62" i="26" s="1"/>
  <c r="K36" i="26"/>
  <c r="E63" i="26" s="1"/>
  <c r="K34" i="26"/>
  <c r="E61" i="26" s="1"/>
  <c r="K39" i="26"/>
  <c r="E66" i="26" s="1"/>
  <c r="K33" i="26"/>
  <c r="E60" i="26" s="1"/>
  <c r="K37" i="26"/>
  <c r="E64" i="26" s="1"/>
  <c r="K38" i="26"/>
  <c r="E65" i="26" s="1"/>
  <c r="K40" i="26"/>
  <c r="E67" i="26" s="1"/>
  <c r="K41" i="26"/>
  <c r="E68" i="26" s="1"/>
  <c r="K42" i="26"/>
  <c r="E69" i="26" s="1"/>
  <c r="A73" i="25"/>
  <c r="B47" i="25"/>
  <c r="G32" i="28"/>
  <c r="J31" i="28"/>
  <c r="K36" i="28"/>
  <c r="E63" i="28" s="1"/>
  <c r="K37" i="28"/>
  <c r="E64" i="28" s="1"/>
  <c r="K38" i="28"/>
  <c r="E65" i="28" s="1"/>
  <c r="K35" i="28"/>
  <c r="E62" i="28" s="1"/>
  <c r="K34" i="28"/>
  <c r="E61" i="28" s="1"/>
  <c r="K33" i="28"/>
  <c r="E60" i="28" s="1"/>
  <c r="K39" i="28"/>
  <c r="E66" i="28" s="1"/>
  <c r="K32" i="28"/>
  <c r="K40" i="28"/>
  <c r="E67" i="28" s="1"/>
  <c r="K41" i="28"/>
  <c r="E68" i="28" s="1"/>
  <c r="K42" i="28"/>
  <c r="E69" i="28" s="1"/>
  <c r="B46" i="24"/>
  <c r="A72" i="24"/>
  <c r="J32" i="29"/>
  <c r="J33" i="29" s="1"/>
  <c r="J34" i="29" s="1"/>
  <c r="J35" i="29" s="1"/>
  <c r="J36" i="29" s="1"/>
  <c r="J37" i="29" s="1"/>
  <c r="J38" i="29" s="1"/>
  <c r="J39" i="29" s="1"/>
  <c r="J40" i="29" s="1"/>
  <c r="J41" i="29" s="1"/>
  <c r="J42" i="29" s="1"/>
  <c r="J43" i="29" s="1"/>
  <c r="J44" i="29" s="1"/>
  <c r="J45" i="29" s="1"/>
  <c r="J46" i="29" s="1"/>
  <c r="J47" i="29" s="1"/>
  <c r="J48" i="29" s="1"/>
  <c r="J49" i="29" s="1"/>
  <c r="J50" i="29" s="1"/>
  <c r="J51" i="29" s="1"/>
  <c r="G82" i="29"/>
  <c r="G85" i="29" s="1"/>
  <c r="F51" i="23"/>
  <c r="F52" i="23" s="1"/>
  <c r="I31" i="23" s="1"/>
  <c r="B78" i="23"/>
  <c r="B79" i="23" s="1"/>
  <c r="C52" i="23"/>
  <c r="H32" i="24"/>
  <c r="C59" i="24"/>
  <c r="A73" i="28"/>
  <c r="B47" i="28"/>
  <c r="H32" i="29"/>
  <c r="C59" i="29"/>
  <c r="A74" i="26"/>
  <c r="B48" i="26"/>
  <c r="F51" i="25"/>
  <c r="F52" i="25" s="1"/>
  <c r="I31" i="25" s="1"/>
  <c r="B78" i="25"/>
  <c r="B79" i="25" s="1"/>
  <c r="C52" i="25"/>
  <c r="E59" i="29"/>
  <c r="K52" i="29"/>
  <c r="G82" i="24"/>
  <c r="J32" i="24"/>
  <c r="J33" i="24" s="1"/>
  <c r="J34" i="24" s="1"/>
  <c r="J35" i="24" s="1"/>
  <c r="J36" i="24" s="1"/>
  <c r="J37" i="24" s="1"/>
  <c r="J38" i="24" s="1"/>
  <c r="J39" i="24" s="1"/>
  <c r="J40" i="24" s="1"/>
  <c r="J41" i="24" s="1"/>
  <c r="J42" i="24" s="1"/>
  <c r="J43" i="24" s="1"/>
  <c r="J44" i="24" s="1"/>
  <c r="J45" i="24" s="1"/>
  <c r="J46" i="24" s="1"/>
  <c r="J47" i="24" s="1"/>
  <c r="J48" i="24" s="1"/>
  <c r="J49" i="24" s="1"/>
  <c r="J50" i="24" s="1"/>
  <c r="J51" i="24" s="1"/>
  <c r="B49" i="26" l="1"/>
  <c r="A75" i="26"/>
  <c r="G94" i="24"/>
  <c r="F59" i="24"/>
  <c r="C16" i="12"/>
  <c r="G85" i="24"/>
  <c r="G32" i="23"/>
  <c r="K37" i="23"/>
  <c r="E64" i="23" s="1"/>
  <c r="K33" i="23"/>
  <c r="E60" i="23" s="1"/>
  <c r="K38" i="23"/>
  <c r="E65" i="23" s="1"/>
  <c r="K35" i="23"/>
  <c r="E62" i="23" s="1"/>
  <c r="J31" i="23"/>
  <c r="K34" i="23"/>
  <c r="E61" i="23" s="1"/>
  <c r="K36" i="23"/>
  <c r="E63" i="23" s="1"/>
  <c r="K32" i="23"/>
  <c r="K39" i="23"/>
  <c r="E66" i="23" s="1"/>
  <c r="K40" i="23"/>
  <c r="E67" i="23" s="1"/>
  <c r="K41" i="23"/>
  <c r="E68" i="23" s="1"/>
  <c r="K42" i="23"/>
  <c r="E69" i="23" s="1"/>
  <c r="A73" i="24"/>
  <c r="B47" i="24"/>
  <c r="E59" i="27"/>
  <c r="K52" i="27"/>
  <c r="B47" i="27"/>
  <c r="A73" i="27"/>
  <c r="G82" i="28"/>
  <c r="J32" i="28"/>
  <c r="J33" i="28" s="1"/>
  <c r="J34" i="28" s="1"/>
  <c r="J35" i="28" s="1"/>
  <c r="J36" i="28" s="1"/>
  <c r="J37" i="28" s="1"/>
  <c r="J38" i="28" s="1"/>
  <c r="J39" i="28" s="1"/>
  <c r="J40" i="28" s="1"/>
  <c r="J41" i="28" s="1"/>
  <c r="J42" i="28" s="1"/>
  <c r="J43" i="28" s="1"/>
  <c r="J44" i="28" s="1"/>
  <c r="J45" i="28" s="1"/>
  <c r="J46" i="28" s="1"/>
  <c r="J47" i="28" s="1"/>
  <c r="J48" i="28" s="1"/>
  <c r="J49" i="28" s="1"/>
  <c r="J50" i="28" s="1"/>
  <c r="J51" i="28" s="1"/>
  <c r="E59" i="26"/>
  <c r="K52" i="26"/>
  <c r="H32" i="27"/>
  <c r="C59" i="27"/>
  <c r="G95" i="24"/>
  <c r="E79" i="24"/>
  <c r="A74" i="28"/>
  <c r="B48" i="28"/>
  <c r="H83" i="24"/>
  <c r="H84" i="24"/>
  <c r="C37" i="12" s="1"/>
  <c r="I32" i="24"/>
  <c r="K52" i="28"/>
  <c r="E59" i="28"/>
  <c r="B48" i="25"/>
  <c r="A74" i="25"/>
  <c r="G95" i="29"/>
  <c r="I95" i="29" s="1"/>
  <c r="E79" i="29"/>
  <c r="J31" i="25"/>
  <c r="G32" i="25"/>
  <c r="K32" i="25"/>
  <c r="K35" i="25"/>
  <c r="E62" i="25" s="1"/>
  <c r="K34" i="25"/>
  <c r="E61" i="25" s="1"/>
  <c r="K33" i="25"/>
  <c r="E60" i="25" s="1"/>
  <c r="K36" i="25"/>
  <c r="E63" i="25" s="1"/>
  <c r="K37" i="25"/>
  <c r="E64" i="25" s="1"/>
  <c r="K38" i="25"/>
  <c r="E65" i="25" s="1"/>
  <c r="K39" i="25"/>
  <c r="E66" i="25" s="1"/>
  <c r="K40" i="25"/>
  <c r="E67" i="25" s="1"/>
  <c r="K41" i="25"/>
  <c r="E68" i="25" s="1"/>
  <c r="K42" i="25"/>
  <c r="E69" i="25" s="1"/>
  <c r="G94" i="29"/>
  <c r="F59" i="29"/>
  <c r="G82" i="26"/>
  <c r="J32" i="26"/>
  <c r="J33" i="26" s="1"/>
  <c r="J34" i="26" s="1"/>
  <c r="J35" i="26" s="1"/>
  <c r="J36" i="26" s="1"/>
  <c r="J37" i="26" s="1"/>
  <c r="J38" i="26" s="1"/>
  <c r="J39" i="26" s="1"/>
  <c r="J40" i="26" s="1"/>
  <c r="J41" i="26" s="1"/>
  <c r="J42" i="26" s="1"/>
  <c r="J43" i="26" s="1"/>
  <c r="J44" i="26" s="1"/>
  <c r="J45" i="26" s="1"/>
  <c r="J46" i="26" s="1"/>
  <c r="J47" i="26" s="1"/>
  <c r="J48" i="26" s="1"/>
  <c r="J49" i="26" s="1"/>
  <c r="J50" i="26" s="1"/>
  <c r="J51" i="26" s="1"/>
  <c r="G82" i="27"/>
  <c r="J32" i="27"/>
  <c r="J33" i="27" s="1"/>
  <c r="J34" i="27" s="1"/>
  <c r="J35" i="27" s="1"/>
  <c r="J36" i="27" s="1"/>
  <c r="J37" i="27" s="1"/>
  <c r="J38" i="27" s="1"/>
  <c r="J39" i="27" s="1"/>
  <c r="J40" i="27" s="1"/>
  <c r="J41" i="27" s="1"/>
  <c r="J42" i="27" s="1"/>
  <c r="J43" i="27" s="1"/>
  <c r="J44" i="27" s="1"/>
  <c r="J45" i="27" s="1"/>
  <c r="J46" i="27" s="1"/>
  <c r="J47" i="27" s="1"/>
  <c r="J48" i="27" s="1"/>
  <c r="J49" i="27" s="1"/>
  <c r="J50" i="27" s="1"/>
  <c r="J51" i="27" s="1"/>
  <c r="B48" i="23"/>
  <c r="A74" i="23"/>
  <c r="H83" i="29"/>
  <c r="H85" i="29" s="1"/>
  <c r="H84" i="29"/>
  <c r="I32" i="29"/>
  <c r="C59" i="28"/>
  <c r="H32" i="28"/>
  <c r="H32" i="26"/>
  <c r="C59" i="26"/>
  <c r="A74" i="29"/>
  <c r="B48" i="29"/>
  <c r="M11" i="17" l="1"/>
  <c r="I95" i="24"/>
  <c r="A74" i="24"/>
  <c r="B48" i="24"/>
  <c r="C59" i="23"/>
  <c r="H32" i="23"/>
  <c r="F59" i="28"/>
  <c r="G94" i="28"/>
  <c r="AG16" i="12"/>
  <c r="G85" i="27"/>
  <c r="G59" i="29"/>
  <c r="G82" i="25"/>
  <c r="J32" i="25"/>
  <c r="J33" i="25" s="1"/>
  <c r="J34" i="25" s="1"/>
  <c r="J35" i="25" s="1"/>
  <c r="J36" i="25" s="1"/>
  <c r="J37" i="25" s="1"/>
  <c r="J38" i="25" s="1"/>
  <c r="J39" i="25" s="1"/>
  <c r="J40" i="25" s="1"/>
  <c r="J41" i="25" s="1"/>
  <c r="J42" i="25" s="1"/>
  <c r="J43" i="25" s="1"/>
  <c r="J44" i="25" s="1"/>
  <c r="J45" i="25" s="1"/>
  <c r="J46" i="25" s="1"/>
  <c r="J47" i="25" s="1"/>
  <c r="J48" i="25" s="1"/>
  <c r="J49" i="25" s="1"/>
  <c r="J50" i="25" s="1"/>
  <c r="J51" i="25" s="1"/>
  <c r="A75" i="28"/>
  <c r="B49" i="28"/>
  <c r="G95" i="26"/>
  <c r="E79" i="26"/>
  <c r="B49" i="25"/>
  <c r="A75" i="25"/>
  <c r="C41" i="12"/>
  <c r="K37" i="12"/>
  <c r="F59" i="27"/>
  <c r="G94" i="27"/>
  <c r="E59" i="23"/>
  <c r="K52" i="23"/>
  <c r="J32" i="23"/>
  <c r="J33" i="23" s="1"/>
  <c r="J34" i="23" s="1"/>
  <c r="J35" i="23" s="1"/>
  <c r="J36" i="23" s="1"/>
  <c r="J37" i="23" s="1"/>
  <c r="J38" i="23" s="1"/>
  <c r="J39" i="23" s="1"/>
  <c r="J40" i="23" s="1"/>
  <c r="J41" i="23" s="1"/>
  <c r="J42" i="23" s="1"/>
  <c r="J43" i="23" s="1"/>
  <c r="J44" i="23" s="1"/>
  <c r="J45" i="23" s="1"/>
  <c r="J46" i="23" s="1"/>
  <c r="J47" i="23" s="1"/>
  <c r="J48" i="23" s="1"/>
  <c r="J49" i="23" s="1"/>
  <c r="J50" i="23" s="1"/>
  <c r="J51" i="23" s="1"/>
  <c r="G82" i="23"/>
  <c r="G85" i="23" s="1"/>
  <c r="K16" i="12"/>
  <c r="C18" i="12"/>
  <c r="C23" i="12" s="1"/>
  <c r="H32" i="25"/>
  <c r="C59" i="25"/>
  <c r="C31" i="12"/>
  <c r="H85" i="24"/>
  <c r="G59" i="24"/>
  <c r="G94" i="26"/>
  <c r="F59" i="26"/>
  <c r="G33" i="24"/>
  <c r="A74" i="27"/>
  <c r="B48" i="27"/>
  <c r="M16" i="17"/>
  <c r="I94" i="24"/>
  <c r="H98" i="24"/>
  <c r="H96" i="24"/>
  <c r="H99" i="24" s="1"/>
  <c r="B49" i="29"/>
  <c r="A75" i="29"/>
  <c r="H83" i="26"/>
  <c r="H84" i="26"/>
  <c r="W37" i="12" s="1"/>
  <c r="I32" i="26"/>
  <c r="G33" i="29"/>
  <c r="H83" i="28"/>
  <c r="H84" i="28"/>
  <c r="AQ37" i="12" s="1"/>
  <c r="I32" i="28"/>
  <c r="B49" i="23"/>
  <c r="A75" i="23"/>
  <c r="W16" i="12"/>
  <c r="G85" i="26"/>
  <c r="H98" i="29"/>
  <c r="I98" i="29" s="1"/>
  <c r="I94" i="29"/>
  <c r="I99" i="29" s="1"/>
  <c r="E59" i="25"/>
  <c r="K52" i="25"/>
  <c r="E79" i="28"/>
  <c r="G95" i="28"/>
  <c r="I95" i="28" s="1"/>
  <c r="H83" i="27"/>
  <c r="H84" i="27"/>
  <c r="AG37" i="12" s="1"/>
  <c r="I32" i="27"/>
  <c r="AQ16" i="12"/>
  <c r="G85" i="28"/>
  <c r="G95" i="27"/>
  <c r="E79" i="27"/>
  <c r="A76" i="26"/>
  <c r="B50" i="26"/>
  <c r="A77" i="26" l="1"/>
  <c r="B51" i="26"/>
  <c r="A78" i="26" s="1"/>
  <c r="G33" i="26"/>
  <c r="U16" i="17"/>
  <c r="M25" i="17"/>
  <c r="M38" i="17"/>
  <c r="C60" i="24"/>
  <c r="H33" i="24"/>
  <c r="K18" i="12"/>
  <c r="AZ16" i="12"/>
  <c r="G95" i="23"/>
  <c r="E79" i="23"/>
  <c r="K41" i="12"/>
  <c r="AZ41" i="12" s="1"/>
  <c r="AZ37" i="12"/>
  <c r="G59" i="28"/>
  <c r="B49" i="24"/>
  <c r="A75" i="24"/>
  <c r="AY16" i="12"/>
  <c r="AQ18" i="12"/>
  <c r="AQ23" i="12" s="1"/>
  <c r="AG31" i="12"/>
  <c r="H85" i="27"/>
  <c r="G95" i="25"/>
  <c r="E79" i="25"/>
  <c r="B50" i="23"/>
  <c r="A76" i="23"/>
  <c r="AQ31" i="12"/>
  <c r="H85" i="28"/>
  <c r="AE37" i="12"/>
  <c r="W41" i="12"/>
  <c r="B50" i="29"/>
  <c r="A76" i="29"/>
  <c r="A75" i="27"/>
  <c r="B49" i="27"/>
  <c r="H59" i="24"/>
  <c r="F59" i="25"/>
  <c r="G94" i="25"/>
  <c r="AG11" i="17"/>
  <c r="I95" i="26"/>
  <c r="M16" i="12"/>
  <c r="G85" i="25"/>
  <c r="AO16" i="12"/>
  <c r="AG18" i="12"/>
  <c r="AG23" i="12" s="1"/>
  <c r="G33" i="27"/>
  <c r="G33" i="28"/>
  <c r="H33" i="29"/>
  <c r="C60" i="29"/>
  <c r="G59" i="26"/>
  <c r="H83" i="25"/>
  <c r="H84" i="25"/>
  <c r="M37" i="12" s="1"/>
  <c r="I32" i="25"/>
  <c r="AQ16" i="17"/>
  <c r="G98" i="27"/>
  <c r="I94" i="27"/>
  <c r="G96" i="27"/>
  <c r="G99" i="27" s="1"/>
  <c r="B50" i="28"/>
  <c r="A76" i="28"/>
  <c r="H83" i="23"/>
  <c r="I32" i="23"/>
  <c r="H84" i="23"/>
  <c r="AQ11" i="17"/>
  <c r="I95" i="27"/>
  <c r="AO37" i="12"/>
  <c r="AG41" i="12"/>
  <c r="AE16" i="12"/>
  <c r="W18" i="12"/>
  <c r="W23" i="12" s="1"/>
  <c r="AY37" i="12"/>
  <c r="AQ41" i="12"/>
  <c r="W31" i="12"/>
  <c r="H85" i="26"/>
  <c r="G98" i="26"/>
  <c r="AG16" i="17"/>
  <c r="I94" i="26"/>
  <c r="G96" i="26"/>
  <c r="G99" i="26" s="1"/>
  <c r="K31" i="12"/>
  <c r="C35" i="12"/>
  <c r="C42" i="12" s="1"/>
  <c r="C54" i="12" s="1"/>
  <c r="C56" i="12"/>
  <c r="G59" i="27"/>
  <c r="A76" i="25"/>
  <c r="B50" i="25"/>
  <c r="H59" i="29"/>
  <c r="I94" i="28"/>
  <c r="G96" i="28"/>
  <c r="G99" i="28" s="1"/>
  <c r="G98" i="28"/>
  <c r="I98" i="28" s="1"/>
  <c r="F59" i="23"/>
  <c r="G94" i="23"/>
  <c r="U11" i="17"/>
  <c r="M13" i="17"/>
  <c r="M14" i="17" s="1"/>
  <c r="M26" i="17" s="1"/>
  <c r="M37" i="17" l="1"/>
  <c r="M39" i="17" s="1"/>
  <c r="G59" i="23"/>
  <c r="AZ31" i="12"/>
  <c r="K35" i="12"/>
  <c r="I98" i="27"/>
  <c r="I99" i="27" s="1"/>
  <c r="U37" i="12"/>
  <c r="M41" i="12"/>
  <c r="H59" i="26"/>
  <c r="I33" i="29"/>
  <c r="U16" i="12"/>
  <c r="M18" i="12"/>
  <c r="M23" i="12" s="1"/>
  <c r="W16" i="17"/>
  <c r="G98" i="25"/>
  <c r="I94" i="25"/>
  <c r="G96" i="25"/>
  <c r="G99" i="25" s="1"/>
  <c r="A76" i="27"/>
  <c r="B50" i="27"/>
  <c r="C46" i="10"/>
  <c r="B97" i="35"/>
  <c r="B99" i="35" s="1"/>
  <c r="C22" i="10"/>
  <c r="B82" i="35"/>
  <c r="B84" i="35" s="1"/>
  <c r="B87" i="35" s="1"/>
  <c r="F60" i="24"/>
  <c r="H33" i="26"/>
  <c r="C60" i="26"/>
  <c r="BA11" i="17"/>
  <c r="U13" i="17"/>
  <c r="G98" i="29"/>
  <c r="G99" i="29" s="1"/>
  <c r="H59" i="27"/>
  <c r="H96" i="26"/>
  <c r="AO16" i="17"/>
  <c r="AG25" i="17"/>
  <c r="AG38" i="17"/>
  <c r="AE31" i="12"/>
  <c r="W35" i="12"/>
  <c r="W42" i="12" s="1"/>
  <c r="W54" i="12" s="1"/>
  <c r="W56" i="12" s="1"/>
  <c r="BB16" i="12"/>
  <c r="AE18" i="12"/>
  <c r="AY11" i="17"/>
  <c r="AQ13" i="17"/>
  <c r="AQ14" i="17" s="1"/>
  <c r="H85" i="23"/>
  <c r="H98" i="27"/>
  <c r="AQ27" i="17" s="1"/>
  <c r="AY27" i="17" s="1"/>
  <c r="BD27" i="17" s="1"/>
  <c r="H33" i="28"/>
  <c r="C60" i="28"/>
  <c r="G59" i="25"/>
  <c r="AE41" i="12"/>
  <c r="BB41" i="12" s="1"/>
  <c r="BB37" i="12"/>
  <c r="B51" i="23"/>
  <c r="A78" i="23" s="1"/>
  <c r="A77" i="23"/>
  <c r="AO31" i="12"/>
  <c r="AG35" i="12"/>
  <c r="AG42" i="12" s="1"/>
  <c r="AG54" i="12" s="1"/>
  <c r="AG56" i="12" s="1"/>
  <c r="B50" i="24"/>
  <c r="A76" i="24"/>
  <c r="C49" i="1"/>
  <c r="C48" i="1" s="1"/>
  <c r="C57" i="1"/>
  <c r="C55" i="1" s="1"/>
  <c r="B35" i="35" s="1"/>
  <c r="AZ18" i="12"/>
  <c r="C119" i="1" s="1"/>
  <c r="K23" i="12"/>
  <c r="I99" i="28"/>
  <c r="A77" i="25"/>
  <c r="B51" i="25"/>
  <c r="A78" i="25" s="1"/>
  <c r="I98" i="26"/>
  <c r="AY16" i="17"/>
  <c r="AQ38" i="17"/>
  <c r="AQ25" i="17"/>
  <c r="M31" i="12"/>
  <c r="H85" i="25"/>
  <c r="AO18" i="12"/>
  <c r="BC16" i="12"/>
  <c r="AO11" i="17"/>
  <c r="AG13" i="17"/>
  <c r="AG14" i="17" s="1"/>
  <c r="AG26" i="17" s="1"/>
  <c r="H59" i="28"/>
  <c r="C16" i="17"/>
  <c r="H98" i="23"/>
  <c r="H96" i="23"/>
  <c r="I94" i="23"/>
  <c r="H96" i="28"/>
  <c r="H96" i="29"/>
  <c r="H99" i="29" s="1"/>
  <c r="I99" i="26"/>
  <c r="H98" i="26"/>
  <c r="AG27" i="17" s="1"/>
  <c r="AO27" i="17" s="1"/>
  <c r="BC27" i="17" s="1"/>
  <c r="BD37" i="12"/>
  <c r="AY41" i="12"/>
  <c r="BD41" i="12" s="1"/>
  <c r="AO41" i="12"/>
  <c r="BC41" i="12" s="1"/>
  <c r="BC37" i="12"/>
  <c r="G33" i="23"/>
  <c r="A77" i="28"/>
  <c r="B51" i="28"/>
  <c r="A78" i="28" s="1"/>
  <c r="G33" i="25"/>
  <c r="F60" i="29"/>
  <c r="H33" i="27"/>
  <c r="C60" i="27"/>
  <c r="G98" i="24"/>
  <c r="G96" i="24"/>
  <c r="B51" i="29"/>
  <c r="A78" i="29" s="1"/>
  <c r="A77" i="29"/>
  <c r="AY31" i="12"/>
  <c r="AQ35" i="12"/>
  <c r="AQ42" i="12" s="1"/>
  <c r="AQ54" i="12" s="1"/>
  <c r="AQ56" i="12" s="1"/>
  <c r="W11" i="17"/>
  <c r="I95" i="25"/>
  <c r="AY18" i="12"/>
  <c r="BD16" i="12"/>
  <c r="C11" i="17"/>
  <c r="I95" i="23"/>
  <c r="I33" i="24"/>
  <c r="U25" i="17"/>
  <c r="BA25" i="17" s="1"/>
  <c r="BA16" i="17"/>
  <c r="U38" i="17"/>
  <c r="G94" i="10" l="1"/>
  <c r="G64" i="1"/>
  <c r="F67" i="35"/>
  <c r="G22" i="19"/>
  <c r="F94" i="10"/>
  <c r="F64" i="1"/>
  <c r="E67" i="35"/>
  <c r="F22" i="19"/>
  <c r="K11" i="17"/>
  <c r="C13" i="17"/>
  <c r="C14" i="17" s="1"/>
  <c r="AE11" i="17"/>
  <c r="W13" i="17"/>
  <c r="W14" i="17" s="1"/>
  <c r="G60" i="29"/>
  <c r="F46" i="10"/>
  <c r="E97" i="35"/>
  <c r="E99" i="35" s="1"/>
  <c r="F22" i="10"/>
  <c r="E82" i="35"/>
  <c r="E84" i="35" s="1"/>
  <c r="E87" i="35" s="1"/>
  <c r="AZ23" i="12"/>
  <c r="F60" i="28"/>
  <c r="AQ26" i="17"/>
  <c r="AO25" i="17"/>
  <c r="BC25" i="17" s="1"/>
  <c r="BC16" i="17"/>
  <c r="AO38" i="17"/>
  <c r="G60" i="24"/>
  <c r="C50" i="10"/>
  <c r="C45" i="5"/>
  <c r="G34" i="29"/>
  <c r="H59" i="23"/>
  <c r="G34" i="24"/>
  <c r="G22" i="10"/>
  <c r="F82" i="35"/>
  <c r="G99" i="24"/>
  <c r="F60" i="27"/>
  <c r="F57" i="1"/>
  <c r="F55" i="1" s="1"/>
  <c r="E35" i="35" s="1"/>
  <c r="F49" i="1"/>
  <c r="F48" i="1" s="1"/>
  <c r="G98" i="23"/>
  <c r="BC18" i="12"/>
  <c r="F119" i="1" s="1"/>
  <c r="AO23" i="12"/>
  <c r="C120" i="1"/>
  <c r="C117" i="1" s="1"/>
  <c r="C164" i="5" s="1"/>
  <c r="A77" i="24"/>
  <c r="B51" i="24"/>
  <c r="A78" i="24" s="1"/>
  <c r="H59" i="25"/>
  <c r="I33" i="28"/>
  <c r="BD11" i="17"/>
  <c r="AY13" i="17"/>
  <c r="BB31" i="12"/>
  <c r="AE35" i="12"/>
  <c r="H99" i="26"/>
  <c r="F60" i="26"/>
  <c r="B29" i="35"/>
  <c r="A77" i="27"/>
  <c r="B51" i="27"/>
  <c r="A78" i="27" s="1"/>
  <c r="H96" i="25"/>
  <c r="AE16" i="17"/>
  <c r="W25" i="17"/>
  <c r="W38" i="17"/>
  <c r="BA37" i="12"/>
  <c r="U41" i="12"/>
  <c r="BA41" i="12" s="1"/>
  <c r="K42" i="12"/>
  <c r="AZ35" i="12"/>
  <c r="BD18" i="12"/>
  <c r="G119" i="1" s="1"/>
  <c r="AY23" i="12"/>
  <c r="BD31" i="12"/>
  <c r="AY35" i="12"/>
  <c r="M27" i="17"/>
  <c r="I98" i="24"/>
  <c r="I99" i="24" s="1"/>
  <c r="I33" i="27"/>
  <c r="H33" i="25"/>
  <c r="C60" i="25"/>
  <c r="G57" i="1"/>
  <c r="G55" i="1" s="1"/>
  <c r="G49" i="1"/>
  <c r="G48" i="1" s="1"/>
  <c r="K16" i="17"/>
  <c r="C25" i="17"/>
  <c r="C38" i="17"/>
  <c r="AG37" i="17"/>
  <c r="AG39" i="17" s="1"/>
  <c r="AG28" i="17"/>
  <c r="AG30" i="17" s="1"/>
  <c r="BD16" i="17"/>
  <c r="AY25" i="17"/>
  <c r="BD25" i="17" s="1"/>
  <c r="AY38" i="17"/>
  <c r="E46" i="10"/>
  <c r="D97" i="35"/>
  <c r="D99" i="35" s="1"/>
  <c r="BB18" i="12"/>
  <c r="E119" i="1" s="1"/>
  <c r="F120" i="1" s="1"/>
  <c r="F117" i="1" s="1"/>
  <c r="F164" i="5" s="1"/>
  <c r="AE23" i="12"/>
  <c r="BA13" i="17"/>
  <c r="D33" i="1" s="1"/>
  <c r="U14" i="17"/>
  <c r="I33" i="26"/>
  <c r="C24" i="10"/>
  <c r="M56" i="12"/>
  <c r="C40" i="10"/>
  <c r="B92" i="35"/>
  <c r="B95" i="35" s="1"/>
  <c r="B100" i="35" s="1"/>
  <c r="B102" i="35" s="1"/>
  <c r="B107" i="35" s="1"/>
  <c r="B109" i="35" s="1"/>
  <c r="D83" i="10"/>
  <c r="D53" i="1"/>
  <c r="D63" i="1"/>
  <c r="BA38" i="17"/>
  <c r="C56" i="35"/>
  <c r="C65" i="35" s="1"/>
  <c r="H33" i="23"/>
  <c r="C60" i="23"/>
  <c r="G46" i="10"/>
  <c r="F97" i="35"/>
  <c r="F99" i="35" s="1"/>
  <c r="H99" i="23"/>
  <c r="BC11" i="17"/>
  <c r="AO13" i="17"/>
  <c r="U31" i="12"/>
  <c r="M35" i="12"/>
  <c r="M42" i="12" s="1"/>
  <c r="M54" i="12" s="1"/>
  <c r="BC31" i="12"/>
  <c r="AO35" i="12"/>
  <c r="E49" i="1"/>
  <c r="E48" i="1" s="1"/>
  <c r="E57" i="1"/>
  <c r="E55" i="1" s="1"/>
  <c r="D35" i="35" s="1"/>
  <c r="E22" i="10"/>
  <c r="D82" i="35"/>
  <c r="D84" i="35" s="1"/>
  <c r="D87" i="35" s="1"/>
  <c r="H96" i="27"/>
  <c r="H99" i="27" s="1"/>
  <c r="D78" i="10"/>
  <c r="D34" i="1"/>
  <c r="C51" i="35"/>
  <c r="C53" i="35" s="1"/>
  <c r="C54" i="35" s="1"/>
  <c r="C66" i="35" s="1"/>
  <c r="I98" i="25"/>
  <c r="I99" i="25" s="1"/>
  <c r="U18" i="12"/>
  <c r="BA16" i="12"/>
  <c r="H98" i="28"/>
  <c r="H99" i="28" s="1"/>
  <c r="K78" i="10" l="1"/>
  <c r="C18" i="35"/>
  <c r="D82" i="5"/>
  <c r="D80" i="10"/>
  <c r="E24" i="10"/>
  <c r="F40" i="10"/>
  <c r="E92" i="35"/>
  <c r="E95" i="35" s="1"/>
  <c r="E100" i="35" s="1"/>
  <c r="E102" i="35" s="1"/>
  <c r="E107" i="35" s="1"/>
  <c r="E109" i="35" s="1"/>
  <c r="F78" i="10"/>
  <c r="F34" i="1"/>
  <c r="E51" i="35"/>
  <c r="E53" i="35" s="1"/>
  <c r="E54" i="35" s="1"/>
  <c r="I33" i="23"/>
  <c r="G34" i="26"/>
  <c r="BB23" i="12"/>
  <c r="I33" i="25"/>
  <c r="U27" i="17"/>
  <c r="BA27" i="17" s="1"/>
  <c r="M28" i="17"/>
  <c r="M30" i="17" s="1"/>
  <c r="D46" i="10"/>
  <c r="C97" i="35"/>
  <c r="C99" i="35" s="1"/>
  <c r="H99" i="25"/>
  <c r="AE42" i="12"/>
  <c r="BB35" i="12"/>
  <c r="G34" i="28"/>
  <c r="BC23" i="12"/>
  <c r="H34" i="24"/>
  <c r="C61" i="24"/>
  <c r="W26" i="17"/>
  <c r="G50" i="10"/>
  <c r="G45" i="5"/>
  <c r="D92" i="10"/>
  <c r="K83" i="10"/>
  <c r="C19" i="35"/>
  <c r="D87" i="5"/>
  <c r="D120" i="5" s="1"/>
  <c r="D123" i="5" s="1"/>
  <c r="J55" i="1"/>
  <c r="F35" i="35"/>
  <c r="G34" i="27"/>
  <c r="AY42" i="12"/>
  <c r="BD35" i="12"/>
  <c r="C19" i="1"/>
  <c r="C14" i="1" s="1"/>
  <c r="B33" i="35" s="1"/>
  <c r="C13" i="1"/>
  <c r="C11" i="1" s="1"/>
  <c r="B32" i="35" s="1"/>
  <c r="E40" i="10"/>
  <c r="D92" i="35"/>
  <c r="D95" i="35" s="1"/>
  <c r="D100" i="35" s="1"/>
  <c r="D102" i="35" s="1"/>
  <c r="D107" i="35" s="1"/>
  <c r="G120" i="1"/>
  <c r="G117" i="1" s="1"/>
  <c r="G164" i="5" s="1"/>
  <c r="G126" i="35"/>
  <c r="G147" i="35"/>
  <c r="G149" i="35" s="1"/>
  <c r="G82" i="35" s="1"/>
  <c r="F84" i="35"/>
  <c r="F87" i="35" s="1"/>
  <c r="H60" i="24"/>
  <c r="AQ37" i="17"/>
  <c r="AQ39" i="17" s="1"/>
  <c r="AQ28" i="17"/>
  <c r="AQ30" i="17" s="1"/>
  <c r="C123" i="1"/>
  <c r="C67" i="1"/>
  <c r="F50" i="10"/>
  <c r="F45" i="5"/>
  <c r="BB11" i="17"/>
  <c r="AE13" i="17"/>
  <c r="D22" i="10"/>
  <c r="C82" i="35"/>
  <c r="C84" i="35" s="1"/>
  <c r="C87" i="35" s="1"/>
  <c r="BA31" i="12"/>
  <c r="U35" i="12"/>
  <c r="BA14" i="17"/>
  <c r="D94" i="1" s="1"/>
  <c r="D93" i="1" s="1"/>
  <c r="U26" i="17"/>
  <c r="G63" i="1"/>
  <c r="G53" i="1"/>
  <c r="G83" i="10"/>
  <c r="BD38" i="17"/>
  <c r="F56" i="35"/>
  <c r="F65" i="35" s="1"/>
  <c r="F92" i="35"/>
  <c r="G40" i="10"/>
  <c r="K54" i="12"/>
  <c r="AZ42" i="12"/>
  <c r="C46" i="1" s="1"/>
  <c r="C45" i="1" s="1"/>
  <c r="G60" i="26"/>
  <c r="BD13" i="17"/>
  <c r="G33" i="1" s="1"/>
  <c r="AY14" i="17"/>
  <c r="C27" i="17"/>
  <c r="K27" i="17" s="1"/>
  <c r="AZ27" i="17" s="1"/>
  <c r="I98" i="23"/>
  <c r="I99" i="23" s="1"/>
  <c r="G24" i="10"/>
  <c r="G96" i="23"/>
  <c r="G99" i="23" s="1"/>
  <c r="E29" i="35"/>
  <c r="C26" i="17"/>
  <c r="U23" i="12"/>
  <c r="BA18" i="12"/>
  <c r="D119" i="1" s="1"/>
  <c r="D109" i="35"/>
  <c r="D29" i="35"/>
  <c r="AO42" i="12"/>
  <c r="BC35" i="12"/>
  <c r="BC13" i="17"/>
  <c r="F33" i="1" s="1"/>
  <c r="F39" i="1" s="1"/>
  <c r="AO14" i="17"/>
  <c r="F60" i="23"/>
  <c r="B20" i="35"/>
  <c r="C41" i="5"/>
  <c r="C49" i="5" s="1"/>
  <c r="C44" i="10"/>
  <c r="J24" i="10"/>
  <c r="C19" i="5"/>
  <c r="C29" i="10"/>
  <c r="D39" i="1"/>
  <c r="E50" i="10"/>
  <c r="E45" i="5"/>
  <c r="AZ16" i="17"/>
  <c r="K25" i="17"/>
  <c r="AZ25" i="17" s="1"/>
  <c r="K38" i="17"/>
  <c r="F60" i="25"/>
  <c r="BD23" i="12"/>
  <c r="D49" i="1"/>
  <c r="D48" i="1" s="1"/>
  <c r="D57" i="1"/>
  <c r="D55" i="1" s="1"/>
  <c r="C35" i="35" s="1"/>
  <c r="BB16" i="17"/>
  <c r="AE38" i="17"/>
  <c r="AE25" i="17"/>
  <c r="BB25" i="17" s="1"/>
  <c r="G78" i="10"/>
  <c r="G34" i="1"/>
  <c r="F51" i="35"/>
  <c r="F53" i="35" s="1"/>
  <c r="F54" i="35" s="1"/>
  <c r="F66" i="35" s="1"/>
  <c r="F68" i="35" s="1"/>
  <c r="F70" i="35" s="1"/>
  <c r="H98" i="25"/>
  <c r="W27" i="17" s="1"/>
  <c r="AE27" i="17" s="1"/>
  <c r="BB27" i="17" s="1"/>
  <c r="G60" i="27"/>
  <c r="C61" i="29"/>
  <c r="H34" i="29"/>
  <c r="F63" i="1"/>
  <c r="F83" i="10"/>
  <c r="F53" i="1"/>
  <c r="BC38" i="17"/>
  <c r="E56" i="35"/>
  <c r="E65" i="35" s="1"/>
  <c r="G60" i="28"/>
  <c r="F24" i="10"/>
  <c r="H60" i="29"/>
  <c r="AZ11" i="17"/>
  <c r="K13" i="17"/>
  <c r="M94" i="10"/>
  <c r="F98" i="5"/>
  <c r="N94" i="10"/>
  <c r="G98" i="5"/>
  <c r="AZ13" i="17" l="1"/>
  <c r="C33" i="1" s="1"/>
  <c r="K14" i="17"/>
  <c r="G60" i="23"/>
  <c r="BC42" i="12"/>
  <c r="F46" i="1" s="1"/>
  <c r="F45" i="1" s="1"/>
  <c r="AO54" i="12"/>
  <c r="BA23" i="12"/>
  <c r="G19" i="5"/>
  <c r="G29" i="10"/>
  <c r="N24" i="10" s="1"/>
  <c r="AY26" i="17"/>
  <c r="BD14" i="17"/>
  <c r="G94" i="1" s="1"/>
  <c r="G93" i="1" s="1"/>
  <c r="D40" i="10"/>
  <c r="C92" i="35"/>
  <c r="C95" i="35" s="1"/>
  <c r="C100" i="35" s="1"/>
  <c r="C102" i="35" s="1"/>
  <c r="C107" i="35" s="1"/>
  <c r="F22" i="35"/>
  <c r="C124" i="1"/>
  <c r="C121" i="1" s="1"/>
  <c r="E20" i="35"/>
  <c r="E41" i="5"/>
  <c r="E49" i="5" s="1"/>
  <c r="E44" i="10"/>
  <c r="AY54" i="12"/>
  <c r="BD42" i="12"/>
  <c r="G46" i="1" s="1"/>
  <c r="G45" i="1" s="1"/>
  <c r="K92" i="10"/>
  <c r="D96" i="5"/>
  <c r="F61" i="24"/>
  <c r="D64" i="1"/>
  <c r="D94" i="10"/>
  <c r="C67" i="35"/>
  <c r="D22" i="19"/>
  <c r="K80" i="10"/>
  <c r="D84" i="5"/>
  <c r="D81" i="10"/>
  <c r="C78" i="10"/>
  <c r="C34" i="1"/>
  <c r="B51" i="35"/>
  <c r="B53" i="35" s="1"/>
  <c r="B54" i="35" s="1"/>
  <c r="B66" i="35" s="1"/>
  <c r="B68" i="35" s="1"/>
  <c r="B70" i="35" s="1"/>
  <c r="H60" i="27"/>
  <c r="E63" i="1"/>
  <c r="E53" i="1"/>
  <c r="E83" i="10"/>
  <c r="BB38" i="17"/>
  <c r="D56" i="35"/>
  <c r="D65" i="35" s="1"/>
  <c r="BC14" i="17"/>
  <c r="F94" i="1" s="1"/>
  <c r="F93" i="1" s="1"/>
  <c r="AO26" i="17"/>
  <c r="AZ54" i="12"/>
  <c r="AZ56" i="12" s="1"/>
  <c r="K56" i="12"/>
  <c r="G52" i="18"/>
  <c r="G129" i="35"/>
  <c r="H34" i="27"/>
  <c r="C61" i="27"/>
  <c r="I34" i="24"/>
  <c r="E66" i="35"/>
  <c r="I34" i="29"/>
  <c r="E94" i="10"/>
  <c r="E64" i="1"/>
  <c r="D67" i="35"/>
  <c r="E22" i="19"/>
  <c r="N78" i="10"/>
  <c r="F18" i="35"/>
  <c r="G82" i="5"/>
  <c r="G80" i="10"/>
  <c r="C53" i="1"/>
  <c r="C83" i="10"/>
  <c r="C63" i="1"/>
  <c r="AZ38" i="17"/>
  <c r="B56" i="35"/>
  <c r="B65" i="35" s="1"/>
  <c r="D40" i="1"/>
  <c r="D30" i="1" s="1"/>
  <c r="D114" i="1"/>
  <c r="D113" i="1" s="1"/>
  <c r="C51" i="10"/>
  <c r="C64" i="10" s="1"/>
  <c r="C192" i="5"/>
  <c r="F40" i="1"/>
  <c r="F30" i="1" s="1"/>
  <c r="F114" i="1"/>
  <c r="F113" i="1" s="1"/>
  <c r="G41" i="5"/>
  <c r="G49" i="5" s="1"/>
  <c r="G44" i="10"/>
  <c r="N83" i="10"/>
  <c r="G92" i="10"/>
  <c r="G87" i="5"/>
  <c r="G120" i="5" s="1"/>
  <c r="G123" i="5" s="1"/>
  <c r="F19" i="35"/>
  <c r="F21" i="35" s="1"/>
  <c r="C109" i="35"/>
  <c r="C29" i="35"/>
  <c r="BB13" i="17"/>
  <c r="E33" i="1" s="1"/>
  <c r="AE14" i="17"/>
  <c r="F29" i="35"/>
  <c r="F109" i="35"/>
  <c r="W37" i="17"/>
  <c r="W39" i="17" s="1"/>
  <c r="W28" i="17"/>
  <c r="W30" i="17" s="1"/>
  <c r="E13" i="1"/>
  <c r="E11" i="1" s="1"/>
  <c r="D32" i="35" s="1"/>
  <c r="E19" i="1"/>
  <c r="E14" i="1" s="1"/>
  <c r="D33" i="35" s="1"/>
  <c r="D50" i="10"/>
  <c r="D45" i="5"/>
  <c r="H34" i="26"/>
  <c r="C61" i="26"/>
  <c r="M24" i="10"/>
  <c r="F19" i="5"/>
  <c r="F29" i="10"/>
  <c r="G67" i="1"/>
  <c r="G123" i="1"/>
  <c r="G39" i="1"/>
  <c r="BA26" i="17"/>
  <c r="U28" i="17"/>
  <c r="U37" i="17"/>
  <c r="U39" i="17" s="1"/>
  <c r="C61" i="28"/>
  <c r="H34" i="28"/>
  <c r="G34" i="25"/>
  <c r="F20" i="35"/>
  <c r="F41" i="5"/>
  <c r="F49" i="5" s="1"/>
  <c r="F44" i="10"/>
  <c r="H60" i="28"/>
  <c r="M83" i="10"/>
  <c r="F92" i="10"/>
  <c r="E19" i="35"/>
  <c r="F87" i="5"/>
  <c r="F120" i="5" s="1"/>
  <c r="F123" i="5" s="1"/>
  <c r="F61" i="29"/>
  <c r="G60" i="25"/>
  <c r="J28" i="10"/>
  <c r="J15" i="10"/>
  <c r="J14" i="10"/>
  <c r="J23" i="10"/>
  <c r="J26" i="10"/>
  <c r="J12" i="10"/>
  <c r="J27" i="10"/>
  <c r="J18" i="10"/>
  <c r="J16" i="10"/>
  <c r="J19" i="10"/>
  <c r="J25" i="10"/>
  <c r="J17" i="10"/>
  <c r="J13" i="10"/>
  <c r="J20" i="10"/>
  <c r="J29" i="10" s="1"/>
  <c r="J22" i="10"/>
  <c r="F13" i="1"/>
  <c r="F11" i="1" s="1"/>
  <c r="E32" i="35" s="1"/>
  <c r="F19" i="1"/>
  <c r="F14" i="1" s="1"/>
  <c r="E33" i="35" s="1"/>
  <c r="E120" i="1"/>
  <c r="E117" i="1" s="1"/>
  <c r="E164" i="5" s="1"/>
  <c r="D120" i="1"/>
  <c r="D117" i="1" s="1"/>
  <c r="D164" i="5" s="1"/>
  <c r="C37" i="17"/>
  <c r="C39" i="17" s="1"/>
  <c r="C28" i="17"/>
  <c r="C30" i="17" s="1"/>
  <c r="C64" i="1"/>
  <c r="C94" i="10"/>
  <c r="B67" i="35"/>
  <c r="C22" i="19"/>
  <c r="H60" i="26"/>
  <c r="G20" i="35"/>
  <c r="G56" i="35" s="1"/>
  <c r="G65" i="35" s="1"/>
  <c r="F95" i="35"/>
  <c r="F100" i="35" s="1"/>
  <c r="F102" i="35" s="1"/>
  <c r="F107" i="35" s="1"/>
  <c r="BA35" i="12"/>
  <c r="U42" i="12"/>
  <c r="D24" i="10"/>
  <c r="E34" i="1"/>
  <c r="E78" i="10"/>
  <c r="D51" i="35"/>
  <c r="D53" i="35" s="1"/>
  <c r="D54" i="35" s="1"/>
  <c r="D66" i="35" s="1"/>
  <c r="D68" i="35" s="1"/>
  <c r="D70" i="35" s="1"/>
  <c r="C68" i="1"/>
  <c r="G19" i="1"/>
  <c r="G14" i="1" s="1"/>
  <c r="F33" i="35" s="1"/>
  <c r="G13" i="1"/>
  <c r="G11" i="1" s="1"/>
  <c r="F32" i="35" s="1"/>
  <c r="F67" i="1"/>
  <c r="F123" i="1"/>
  <c r="G124" i="1" s="1"/>
  <c r="G121" i="1" s="1"/>
  <c r="AE54" i="12"/>
  <c r="BB42" i="12"/>
  <c r="E46" i="1" s="1"/>
  <c r="E45" i="1" s="1"/>
  <c r="E67" i="1"/>
  <c r="F68" i="1" s="1"/>
  <c r="E123" i="1"/>
  <c r="G34" i="23"/>
  <c r="M78" i="10"/>
  <c r="E18" i="35"/>
  <c r="F82" i="5"/>
  <c r="F80" i="10"/>
  <c r="L24" i="10"/>
  <c r="E19" i="5"/>
  <c r="E29" i="10"/>
  <c r="M92" i="10" l="1"/>
  <c r="F96" i="5"/>
  <c r="BA28" i="17"/>
  <c r="D100" i="1" s="1"/>
  <c r="D99" i="1" s="1"/>
  <c r="U30" i="17"/>
  <c r="BA30" i="17" s="1"/>
  <c r="L14" i="10"/>
  <c r="L23" i="10"/>
  <c r="L26" i="10"/>
  <c r="L17" i="10"/>
  <c r="L28" i="10"/>
  <c r="L19" i="10"/>
  <c r="L25" i="10"/>
  <c r="L13" i="10"/>
  <c r="L27" i="10"/>
  <c r="L18" i="10"/>
  <c r="L15" i="10"/>
  <c r="L12" i="10"/>
  <c r="L16" i="10"/>
  <c r="L20" i="10"/>
  <c r="L22" i="10"/>
  <c r="C61" i="23"/>
  <c r="H34" i="23"/>
  <c r="D19" i="1"/>
  <c r="D14" i="1" s="1"/>
  <c r="C33" i="35" s="1"/>
  <c r="D13" i="1"/>
  <c r="D11" i="1" s="1"/>
  <c r="C32" i="35" s="1"/>
  <c r="J94" i="10"/>
  <c r="C98" i="5"/>
  <c r="G114" i="1"/>
  <c r="G113" i="1" s="1"/>
  <c r="G40" i="1"/>
  <c r="G30" i="1" s="1"/>
  <c r="M13" i="10"/>
  <c r="M23" i="10"/>
  <c r="M25" i="10"/>
  <c r="M12" i="10"/>
  <c r="M27" i="10"/>
  <c r="M18" i="10"/>
  <c r="M28" i="10"/>
  <c r="M14" i="10"/>
  <c r="M19" i="10"/>
  <c r="M26" i="10"/>
  <c r="M17" i="10"/>
  <c r="M15" i="10"/>
  <c r="M16" i="10"/>
  <c r="M20" i="10"/>
  <c r="M22" i="10"/>
  <c r="N92" i="10"/>
  <c r="G96" i="5"/>
  <c r="J45" i="10"/>
  <c r="J57" i="10"/>
  <c r="J38" i="10"/>
  <c r="J42" i="10"/>
  <c r="J48" i="10"/>
  <c r="J55" i="10"/>
  <c r="J59" i="10"/>
  <c r="J43" i="10"/>
  <c r="J56" i="10"/>
  <c r="J47" i="10"/>
  <c r="J58" i="10"/>
  <c r="J49" i="10"/>
  <c r="J39" i="10"/>
  <c r="J60" i="10"/>
  <c r="J62" i="10"/>
  <c r="J41" i="10"/>
  <c r="J36" i="10"/>
  <c r="J61" i="10"/>
  <c r="J37" i="10"/>
  <c r="J54" i="10"/>
  <c r="J46" i="10"/>
  <c r="J40" i="10"/>
  <c r="N80" i="10"/>
  <c r="G84" i="5"/>
  <c r="G81" i="10"/>
  <c r="G35" i="29"/>
  <c r="E68" i="35"/>
  <c r="E70" i="35" s="1"/>
  <c r="E22" i="35"/>
  <c r="F61" i="27"/>
  <c r="K94" i="10"/>
  <c r="D98" i="5"/>
  <c r="E51" i="10"/>
  <c r="E64" i="10" s="1"/>
  <c r="E192" i="5"/>
  <c r="D20" i="35"/>
  <c r="D41" i="5"/>
  <c r="D49" i="5" s="1"/>
  <c r="D44" i="10"/>
  <c r="C20" i="35"/>
  <c r="C21" i="35" s="1"/>
  <c r="BC54" i="12"/>
  <c r="BC56" i="12" s="1"/>
  <c r="AO56" i="12"/>
  <c r="AZ14" i="17"/>
  <c r="C94" i="1" s="1"/>
  <c r="C93" i="1" s="1"/>
  <c r="K26" i="17"/>
  <c r="F124" i="1"/>
  <c r="F121" i="1" s="1"/>
  <c r="BB54" i="12"/>
  <c r="BB56" i="12" s="1"/>
  <c r="AE56" i="12"/>
  <c r="K24" i="10"/>
  <c r="D19" i="5"/>
  <c r="D29" i="10"/>
  <c r="H60" i="25"/>
  <c r="E21" i="35"/>
  <c r="F61" i="26"/>
  <c r="E26" i="35"/>
  <c r="F165" i="5"/>
  <c r="C26" i="35"/>
  <c r="D165" i="5"/>
  <c r="D22" i="35"/>
  <c r="G35" i="24"/>
  <c r="I34" i="27"/>
  <c r="C39" i="1"/>
  <c r="I34" i="28"/>
  <c r="I34" i="26"/>
  <c r="BB14" i="17"/>
  <c r="E94" i="1" s="1"/>
  <c r="E93" i="1" s="1"/>
  <c r="AE26" i="17"/>
  <c r="G51" i="10"/>
  <c r="G64" i="10" s="1"/>
  <c r="G192" i="5"/>
  <c r="E36" i="18"/>
  <c r="F160" i="5"/>
  <c r="F41" i="1"/>
  <c r="C36" i="18"/>
  <c r="D160" i="5"/>
  <c r="D41" i="1"/>
  <c r="C92" i="10"/>
  <c r="J83" i="10"/>
  <c r="B19" i="35"/>
  <c r="B21" i="35" s="1"/>
  <c r="C87" i="5"/>
  <c r="C120" i="5" s="1"/>
  <c r="C123" i="5" s="1"/>
  <c r="J78" i="10"/>
  <c r="C82" i="5"/>
  <c r="B18" i="35"/>
  <c r="C80" i="10"/>
  <c r="BD26" i="17"/>
  <c r="AY37" i="17"/>
  <c r="AY39" i="17" s="1"/>
  <c r="AY28" i="17"/>
  <c r="D123" i="1"/>
  <c r="D67" i="1"/>
  <c r="M80" i="10"/>
  <c r="F84" i="5"/>
  <c r="F81" i="10"/>
  <c r="G68" i="1"/>
  <c r="L78" i="10"/>
  <c r="D18" i="35"/>
  <c r="G18" i="35" s="1"/>
  <c r="G153" i="35" s="1"/>
  <c r="E82" i="5"/>
  <c r="E80" i="10"/>
  <c r="U54" i="12"/>
  <c r="BA42" i="12"/>
  <c r="D46" i="1" s="1"/>
  <c r="D45" i="1" s="1"/>
  <c r="B22" i="35"/>
  <c r="G61" i="29"/>
  <c r="F51" i="10"/>
  <c r="F64" i="10" s="1"/>
  <c r="F192" i="5"/>
  <c r="H34" i="25"/>
  <c r="C61" i="25"/>
  <c r="F61" i="28"/>
  <c r="D97" i="1"/>
  <c r="D96" i="1" s="1"/>
  <c r="C37" i="35" s="1"/>
  <c r="D52" i="1"/>
  <c r="D54" i="1" s="1"/>
  <c r="D51" i="1" s="1"/>
  <c r="C34" i="35" s="1"/>
  <c r="BA37" i="17"/>
  <c r="BA39" i="17" s="1"/>
  <c r="D62" i="1"/>
  <c r="D66" i="1" s="1"/>
  <c r="D21" i="19"/>
  <c r="D15" i="19" s="1"/>
  <c r="E39" i="1"/>
  <c r="C197" i="5"/>
  <c r="C199" i="5" s="1"/>
  <c r="C200" i="5" s="1"/>
  <c r="C204" i="5" s="1"/>
  <c r="C14" i="5" s="1"/>
  <c r="C193" i="5"/>
  <c r="L94" i="10"/>
  <c r="E98" i="5"/>
  <c r="BC26" i="17"/>
  <c r="AO28" i="17"/>
  <c r="AO37" i="17"/>
  <c r="AO39" i="17" s="1"/>
  <c r="E92" i="10"/>
  <c r="L83" i="10"/>
  <c r="D19" i="35"/>
  <c r="E87" i="5"/>
  <c r="E120" i="5" s="1"/>
  <c r="E123" i="5" s="1"/>
  <c r="K81" i="10"/>
  <c r="D93" i="10"/>
  <c r="D85" i="5"/>
  <c r="D107" i="5" s="1"/>
  <c r="D114" i="5" s="1"/>
  <c r="C22" i="35"/>
  <c r="C68" i="35"/>
  <c r="C70" i="35" s="1"/>
  <c r="G61" i="24"/>
  <c r="BD54" i="12"/>
  <c r="BD56" i="12" s="1"/>
  <c r="AY56" i="12"/>
  <c r="N19" i="10"/>
  <c r="N13" i="10"/>
  <c r="N27" i="10"/>
  <c r="N14" i="10"/>
  <c r="N23" i="10"/>
  <c r="N25" i="10"/>
  <c r="N16" i="10"/>
  <c r="N18" i="10"/>
  <c r="N12" i="10"/>
  <c r="N28" i="10"/>
  <c r="N17" i="10"/>
  <c r="N15" i="10"/>
  <c r="N26" i="10"/>
  <c r="N20" i="10"/>
  <c r="N29" i="10" s="1"/>
  <c r="N22" i="10"/>
  <c r="H60" i="23"/>
  <c r="G61" i="28" l="1"/>
  <c r="F197" i="5"/>
  <c r="F199" i="5" s="1"/>
  <c r="F200" i="5" s="1"/>
  <c r="F193" i="5"/>
  <c r="F93" i="10"/>
  <c r="M81" i="10"/>
  <c r="F85" i="5"/>
  <c r="F107" i="5" s="1"/>
  <c r="F114" i="5" s="1"/>
  <c r="E124" i="1"/>
  <c r="E121" i="1" s="1"/>
  <c r="D124" i="1"/>
  <c r="D121" i="1" s="1"/>
  <c r="G52" i="1"/>
  <c r="G54" i="1" s="1"/>
  <c r="G51" i="1" s="1"/>
  <c r="F34" i="35" s="1"/>
  <c r="G62" i="1"/>
  <c r="G66" i="1" s="1"/>
  <c r="G97" i="1"/>
  <c r="G96" i="1" s="1"/>
  <c r="F37" i="35" s="1"/>
  <c r="BD37" i="17"/>
  <c r="BD39" i="17" s="1"/>
  <c r="G21" i="19"/>
  <c r="G35" i="27"/>
  <c r="D51" i="10"/>
  <c r="D64" i="10" s="1"/>
  <c r="D192" i="5"/>
  <c r="E197" i="5"/>
  <c r="E199" i="5" s="1"/>
  <c r="E200" i="5" s="1"/>
  <c r="E204" i="5" s="1"/>
  <c r="E14" i="5" s="1"/>
  <c r="E193" i="5"/>
  <c r="J63" i="10"/>
  <c r="H61" i="24"/>
  <c r="D95" i="10"/>
  <c r="K93" i="10"/>
  <c r="D97" i="5"/>
  <c r="D115" i="5" s="1"/>
  <c r="D21" i="35"/>
  <c r="AO30" i="17"/>
  <c r="BC30" i="17" s="1"/>
  <c r="BC28" i="17"/>
  <c r="F100" i="1" s="1"/>
  <c r="F99" i="1" s="1"/>
  <c r="E114" i="1"/>
  <c r="E113" i="1" s="1"/>
  <c r="E40" i="1"/>
  <c r="E30" i="1" s="1"/>
  <c r="M39" i="10"/>
  <c r="M45" i="10"/>
  <c r="M57" i="10"/>
  <c r="M36" i="10"/>
  <c r="M41" i="10"/>
  <c r="M48" i="10"/>
  <c r="M59" i="10"/>
  <c r="M42" i="10"/>
  <c r="M56" i="10"/>
  <c r="M47" i="10"/>
  <c r="M58" i="10"/>
  <c r="M38" i="10"/>
  <c r="M60" i="10"/>
  <c r="M62" i="10"/>
  <c r="M49" i="10"/>
  <c r="M54" i="10"/>
  <c r="M43" i="10"/>
  <c r="M55" i="10"/>
  <c r="M61" i="10"/>
  <c r="M37" i="10"/>
  <c r="M46" i="10"/>
  <c r="M40" i="10"/>
  <c r="G51" i="35"/>
  <c r="G154" i="35"/>
  <c r="G83" i="35" s="1"/>
  <c r="G84" i="35" s="1"/>
  <c r="G197" i="5"/>
  <c r="G199" i="5" s="1"/>
  <c r="G200" i="5" s="1"/>
  <c r="G193" i="5"/>
  <c r="G35" i="26"/>
  <c r="C114" i="1"/>
  <c r="C113" i="1" s="1"/>
  <c r="C40" i="1"/>
  <c r="C30" i="1" s="1"/>
  <c r="K12" i="10"/>
  <c r="K17" i="10"/>
  <c r="K14" i="10"/>
  <c r="K15" i="10"/>
  <c r="K16" i="10"/>
  <c r="K18" i="10"/>
  <c r="K26" i="10"/>
  <c r="K28" i="10"/>
  <c r="K13" i="10"/>
  <c r="K19" i="10"/>
  <c r="K27" i="10"/>
  <c r="K25" i="10"/>
  <c r="K23" i="10"/>
  <c r="K20" i="10"/>
  <c r="K22" i="10"/>
  <c r="L38" i="10"/>
  <c r="L48" i="10"/>
  <c r="L55" i="10"/>
  <c r="L59" i="10"/>
  <c r="L45" i="10"/>
  <c r="L61" i="10"/>
  <c r="L41" i="10"/>
  <c r="L62" i="10"/>
  <c r="L43" i="10"/>
  <c r="L56" i="10"/>
  <c r="L58" i="10"/>
  <c r="L39" i="10"/>
  <c r="L60" i="10"/>
  <c r="L47" i="10"/>
  <c r="L49" i="10"/>
  <c r="L57" i="10"/>
  <c r="L36" i="10"/>
  <c r="L44" i="10" s="1"/>
  <c r="L42" i="10"/>
  <c r="L37" i="10"/>
  <c r="L54" i="10"/>
  <c r="L46" i="10"/>
  <c r="L40" i="10"/>
  <c r="G61" i="27"/>
  <c r="C62" i="29"/>
  <c r="H35" i="29"/>
  <c r="J30" i="1"/>
  <c r="F36" i="18"/>
  <c r="G160" i="5"/>
  <c r="G41" i="1"/>
  <c r="L29" i="10"/>
  <c r="F97" i="1"/>
  <c r="F96" i="1" s="1"/>
  <c r="E37" i="35" s="1"/>
  <c r="F52" i="1"/>
  <c r="F54" i="1" s="1"/>
  <c r="F51" i="1" s="1"/>
  <c r="E34" i="35" s="1"/>
  <c r="F62" i="1"/>
  <c r="F66" i="1" s="1"/>
  <c r="BC37" i="17"/>
  <c r="BC39" i="17" s="1"/>
  <c r="F21" i="19"/>
  <c r="C24" i="5"/>
  <c r="C34" i="5" s="1"/>
  <c r="C52" i="5"/>
  <c r="C53" i="5" s="1"/>
  <c r="C54" i="5" s="1"/>
  <c r="D14" i="19"/>
  <c r="D24" i="19"/>
  <c r="D31" i="19" s="1"/>
  <c r="F61" i="25"/>
  <c r="BA54" i="12"/>
  <c r="BA56" i="12" s="1"/>
  <c r="U56" i="12"/>
  <c r="AY30" i="17"/>
  <c r="BD30" i="17" s="1"/>
  <c r="BD28" i="17"/>
  <c r="G100" i="1" s="1"/>
  <c r="G99" i="1" s="1"/>
  <c r="J80" i="10"/>
  <c r="C81" i="10"/>
  <c r="C84" i="5"/>
  <c r="J92" i="10"/>
  <c r="C96" i="5"/>
  <c r="E37" i="18"/>
  <c r="F161" i="5"/>
  <c r="N39" i="10"/>
  <c r="N43" i="10"/>
  <c r="N49" i="10"/>
  <c r="N56" i="10"/>
  <c r="N60" i="10"/>
  <c r="N41" i="10"/>
  <c r="N47" i="10"/>
  <c r="N58" i="10"/>
  <c r="N42" i="10"/>
  <c r="N55" i="10"/>
  <c r="N54" i="10"/>
  <c r="N48" i="10"/>
  <c r="N38" i="10"/>
  <c r="N45" i="10"/>
  <c r="N36" i="10"/>
  <c r="N57" i="10"/>
  <c r="N61" i="10"/>
  <c r="N62" i="10"/>
  <c r="N59" i="10"/>
  <c r="N37" i="10"/>
  <c r="N46" i="10"/>
  <c r="N40" i="10"/>
  <c r="C62" i="24"/>
  <c r="H35" i="24"/>
  <c r="G61" i="26"/>
  <c r="F26" i="35"/>
  <c r="G165" i="5"/>
  <c r="I34" i="23"/>
  <c r="L92" i="10"/>
  <c r="E96" i="5"/>
  <c r="I34" i="25"/>
  <c r="H61" i="29"/>
  <c r="L80" i="10"/>
  <c r="E84" i="5"/>
  <c r="E81" i="10"/>
  <c r="E68" i="1"/>
  <c r="D68" i="1"/>
  <c r="C37" i="18"/>
  <c r="D161" i="5"/>
  <c r="BB26" i="17"/>
  <c r="AE28" i="17"/>
  <c r="AE37" i="17"/>
  <c r="AE39" i="17" s="1"/>
  <c r="G35" i="28"/>
  <c r="AZ26" i="17"/>
  <c r="K37" i="17"/>
  <c r="K39" i="17" s="1"/>
  <c r="K28" i="17"/>
  <c r="N81" i="10"/>
  <c r="G93" i="10"/>
  <c r="G85" i="5"/>
  <c r="G107" i="5" s="1"/>
  <c r="G114" i="5" s="1"/>
  <c r="J44" i="10"/>
  <c r="J50" i="10"/>
  <c r="M29" i="10"/>
  <c r="F61" i="23"/>
  <c r="BA32" i="17"/>
  <c r="BA34" i="17" s="1"/>
  <c r="D65" i="1"/>
  <c r="D61" i="1" s="1"/>
  <c r="D70" i="1"/>
  <c r="D72" i="1" s="1"/>
  <c r="D69" i="1" s="1"/>
  <c r="D155" i="5" l="1"/>
  <c r="D117" i="5"/>
  <c r="C97" i="1"/>
  <c r="C96" i="1" s="1"/>
  <c r="B37" i="35" s="1"/>
  <c r="C52" i="1"/>
  <c r="C54" i="1" s="1"/>
  <c r="C51" i="1" s="1"/>
  <c r="B34" i="35" s="1"/>
  <c r="C62" i="1"/>
  <c r="C66" i="1" s="1"/>
  <c r="AZ37" i="17"/>
  <c r="AZ39" i="17" s="1"/>
  <c r="C21" i="19"/>
  <c r="G35" i="25"/>
  <c r="G65" i="1"/>
  <c r="G61" i="1" s="1"/>
  <c r="G70" i="1"/>
  <c r="G72" i="1" s="1"/>
  <c r="G69" i="1" s="1"/>
  <c r="BD32" i="17"/>
  <c r="BD34" i="17" s="1"/>
  <c r="C59" i="5"/>
  <c r="C28" i="19"/>
  <c r="C35" i="5"/>
  <c r="F62" i="29"/>
  <c r="L50" i="10"/>
  <c r="H35" i="26"/>
  <c r="C62" i="26"/>
  <c r="H35" i="28"/>
  <c r="C62" i="28"/>
  <c r="E62" i="1"/>
  <c r="E66" i="1" s="1"/>
  <c r="E52" i="1"/>
  <c r="E54" i="1" s="1"/>
  <c r="E51" i="1" s="1"/>
  <c r="D34" i="35" s="1"/>
  <c r="E97" i="1"/>
  <c r="E96" i="1" s="1"/>
  <c r="D37" i="35" s="1"/>
  <c r="BB37" i="17"/>
  <c r="BB39" i="17" s="1"/>
  <c r="E21" i="19"/>
  <c r="F62" i="24"/>
  <c r="N44" i="10"/>
  <c r="F14" i="19"/>
  <c r="F24" i="19"/>
  <c r="F31" i="19" s="1"/>
  <c r="F15" i="19"/>
  <c r="J113" i="1"/>
  <c r="J41" i="1"/>
  <c r="L63" i="10"/>
  <c r="B36" i="18"/>
  <c r="C160" i="5"/>
  <c r="C41" i="1"/>
  <c r="M50" i="10"/>
  <c r="K49" i="10"/>
  <c r="K56" i="10"/>
  <c r="K60" i="10"/>
  <c r="K41" i="10"/>
  <c r="K47" i="10"/>
  <c r="K62" i="10"/>
  <c r="K38" i="10"/>
  <c r="K48" i="10"/>
  <c r="K59" i="10"/>
  <c r="K45" i="10"/>
  <c r="K61" i="10"/>
  <c r="K42" i="10"/>
  <c r="K36" i="10"/>
  <c r="K44" i="10" s="1"/>
  <c r="K55" i="10"/>
  <c r="K57" i="10"/>
  <c r="K43" i="10"/>
  <c r="K39" i="10"/>
  <c r="K58" i="10"/>
  <c r="K37" i="10"/>
  <c r="K54" i="10"/>
  <c r="K46" i="10"/>
  <c r="K40" i="10"/>
  <c r="M93" i="10"/>
  <c r="F95" i="10"/>
  <c r="F97" i="5"/>
  <c r="H61" i="28"/>
  <c r="J51" i="10"/>
  <c r="J64" i="10" s="1"/>
  <c r="AZ28" i="17"/>
  <c r="C100" i="1" s="1"/>
  <c r="C99" i="1" s="1"/>
  <c r="K30" i="17"/>
  <c r="AZ30" i="17" s="1"/>
  <c r="G35" i="23"/>
  <c r="D124" i="5"/>
  <c r="D125" i="5" s="1"/>
  <c r="D127" i="5" s="1"/>
  <c r="D176" i="5" s="1"/>
  <c r="H61" i="26"/>
  <c r="N50" i="10"/>
  <c r="F37" i="18"/>
  <c r="G161" i="5"/>
  <c r="H61" i="27"/>
  <c r="B26" i="35"/>
  <c r="C165" i="5"/>
  <c r="G204" i="5"/>
  <c r="G14" i="5" s="1"/>
  <c r="G202" i="5"/>
  <c r="F70" i="1"/>
  <c r="F72" i="1" s="1"/>
  <c r="F69" i="1" s="1"/>
  <c r="F65" i="1"/>
  <c r="F61" i="1" s="1"/>
  <c r="BC32" i="17"/>
  <c r="BC34" i="17" s="1"/>
  <c r="K95" i="10"/>
  <c r="D97" i="10"/>
  <c r="D99" i="5"/>
  <c r="N93" i="10"/>
  <c r="G95" i="10"/>
  <c r="G97" i="5"/>
  <c r="AE30" i="17"/>
  <c r="BB30" i="17" s="1"/>
  <c r="BB28" i="17"/>
  <c r="E100" i="1" s="1"/>
  <c r="E99" i="1" s="1"/>
  <c r="I35" i="24"/>
  <c r="G61" i="25"/>
  <c r="L51" i="10"/>
  <c r="L64" i="10" s="1"/>
  <c r="G119" i="35"/>
  <c r="G9" i="18" s="1"/>
  <c r="G53" i="35"/>
  <c r="D26" i="35"/>
  <c r="G26" i="35" s="1"/>
  <c r="G36" i="18" s="1"/>
  <c r="G37" i="18" s="1"/>
  <c r="E165" i="5"/>
  <c r="D197" i="5"/>
  <c r="D199" i="5" s="1"/>
  <c r="D200" i="5" s="1"/>
  <c r="D204" i="5" s="1"/>
  <c r="D14" i="5" s="1"/>
  <c r="D193" i="5"/>
  <c r="G24" i="19"/>
  <c r="G31" i="19" s="1"/>
  <c r="G14" i="19"/>
  <c r="G15" i="19"/>
  <c r="N63" i="10"/>
  <c r="J81" i="10"/>
  <c r="C93" i="10"/>
  <c r="C85" i="5"/>
  <c r="C107" i="5" s="1"/>
  <c r="C114" i="5" s="1"/>
  <c r="D183" i="5"/>
  <c r="C36" i="35"/>
  <c r="G61" i="23"/>
  <c r="L81" i="10"/>
  <c r="E93" i="10"/>
  <c r="E85" i="5"/>
  <c r="E107" i="5" s="1"/>
  <c r="E114" i="5" s="1"/>
  <c r="C55" i="5"/>
  <c r="I35" i="29"/>
  <c r="K29" i="10"/>
  <c r="M63" i="10"/>
  <c r="M44" i="10"/>
  <c r="D36" i="18"/>
  <c r="E160" i="5"/>
  <c r="E41" i="1"/>
  <c r="E52" i="5"/>
  <c r="E53" i="5" s="1"/>
  <c r="E54" i="5" s="1"/>
  <c r="E24" i="5"/>
  <c r="E34" i="5" s="1"/>
  <c r="H35" i="27"/>
  <c r="C62" i="27"/>
  <c r="F202" i="5"/>
  <c r="F204" i="5"/>
  <c r="F14" i="5" s="1"/>
  <c r="F52" i="5" l="1"/>
  <c r="F53" i="5" s="1"/>
  <c r="F54" i="5" s="1"/>
  <c r="F24" i="5"/>
  <c r="F34" i="5" s="1"/>
  <c r="F62" i="27"/>
  <c r="C177" i="5"/>
  <c r="C173" i="5"/>
  <c r="C172" i="5" s="1"/>
  <c r="H61" i="23"/>
  <c r="C95" i="10"/>
  <c r="J93" i="10"/>
  <c r="C97" i="5"/>
  <c r="G36" i="24"/>
  <c r="K97" i="10"/>
  <c r="D130" i="1"/>
  <c r="D132" i="1" s="1"/>
  <c r="D134" i="1" s="1"/>
  <c r="D101" i="5"/>
  <c r="F124" i="5"/>
  <c r="F125" i="5" s="1"/>
  <c r="F127" i="5" s="1"/>
  <c r="F176" i="5" s="1"/>
  <c r="F115" i="5"/>
  <c r="I35" i="26"/>
  <c r="I35" i="27"/>
  <c r="N95" i="10"/>
  <c r="G97" i="10"/>
  <c r="G99" i="5"/>
  <c r="K63" i="10"/>
  <c r="G62" i="24"/>
  <c r="I35" i="28"/>
  <c r="F35" i="5"/>
  <c r="E28" i="19"/>
  <c r="E59" i="5"/>
  <c r="G36" i="29"/>
  <c r="G52" i="5"/>
  <c r="G53" i="5" s="1"/>
  <c r="G54" i="5" s="1"/>
  <c r="G24" i="5"/>
  <c r="G34" i="5" s="1"/>
  <c r="C62" i="23"/>
  <c r="H35" i="23"/>
  <c r="B37" i="18"/>
  <c r="C161" i="5"/>
  <c r="E14" i="19"/>
  <c r="E24" i="19"/>
  <c r="E31" i="19" s="1"/>
  <c r="E15" i="19"/>
  <c r="C29" i="19"/>
  <c r="C17" i="19"/>
  <c r="C16" i="19"/>
  <c r="D141" i="5"/>
  <c r="D140" i="5" s="1"/>
  <c r="D137" i="5"/>
  <c r="D129" i="5"/>
  <c r="D37" i="18"/>
  <c r="E161" i="5"/>
  <c r="L93" i="10"/>
  <c r="E95" i="10"/>
  <c r="E97" i="5"/>
  <c r="G115" i="5"/>
  <c r="G124" i="5"/>
  <c r="G125" i="5" s="1"/>
  <c r="G127" i="5" s="1"/>
  <c r="G176" i="5" s="1"/>
  <c r="E36" i="35"/>
  <c r="F183" i="5"/>
  <c r="F62" i="28"/>
  <c r="C145" i="5"/>
  <c r="C143" i="5" s="1"/>
  <c r="B38" i="35" s="1"/>
  <c r="C138" i="5"/>
  <c r="M95" i="10"/>
  <c r="F97" i="10"/>
  <c r="F99" i="5"/>
  <c r="G183" i="5"/>
  <c r="F36" i="35"/>
  <c r="C14" i="19"/>
  <c r="N14" i="19" s="1"/>
  <c r="C24" i="19"/>
  <c r="C31" i="19" s="1"/>
  <c r="C15" i="19"/>
  <c r="N15" i="19" s="1"/>
  <c r="F55" i="5"/>
  <c r="M51" i="10"/>
  <c r="M64" i="10" s="1"/>
  <c r="D52" i="5"/>
  <c r="D53" i="5" s="1"/>
  <c r="D54" i="5" s="1"/>
  <c r="D24" i="5"/>
  <c r="D34" i="5" s="1"/>
  <c r="G54" i="35"/>
  <c r="G66" i="35" s="1"/>
  <c r="G90" i="35"/>
  <c r="H61" i="25"/>
  <c r="E65" i="1"/>
  <c r="E61" i="1" s="1"/>
  <c r="E70" i="1"/>
  <c r="E72" i="1" s="1"/>
  <c r="E69" i="1" s="1"/>
  <c r="BB32" i="17"/>
  <c r="BB34" i="17" s="1"/>
  <c r="C65" i="1"/>
  <c r="C61" i="1" s="1"/>
  <c r="C70" i="1"/>
  <c r="C72" i="1" s="1"/>
  <c r="C69" i="1" s="1"/>
  <c r="AZ32" i="17"/>
  <c r="AZ34" i="17" s="1"/>
  <c r="K50" i="10"/>
  <c r="K51" i="10" s="1"/>
  <c r="K64" i="10" s="1"/>
  <c r="N51" i="10"/>
  <c r="N64" i="10" s="1"/>
  <c r="F62" i="26"/>
  <c r="G62" i="29"/>
  <c r="C62" i="25"/>
  <c r="H35" i="25"/>
  <c r="E55" i="5" l="1"/>
  <c r="D55" i="5"/>
  <c r="G62" i="28"/>
  <c r="H36" i="29"/>
  <c r="C63" i="29"/>
  <c r="F155" i="5"/>
  <c r="F117" i="5"/>
  <c r="C115" i="5"/>
  <c r="C124" i="5"/>
  <c r="C125" i="5" s="1"/>
  <c r="C127" i="5" s="1"/>
  <c r="C176" i="5" s="1"/>
  <c r="C175" i="5" s="1"/>
  <c r="I35" i="25"/>
  <c r="D28" i="19"/>
  <c r="D59" i="5"/>
  <c r="E35" i="5"/>
  <c r="D35" i="5"/>
  <c r="M97" i="10"/>
  <c r="F130" i="1"/>
  <c r="F132" i="1" s="1"/>
  <c r="F134" i="1" s="1"/>
  <c r="F101" i="5"/>
  <c r="L95" i="10"/>
  <c r="E97" i="10"/>
  <c r="E99" i="5"/>
  <c r="F145" i="5"/>
  <c r="F143" i="5" s="1"/>
  <c r="E38" i="35" s="1"/>
  <c r="F138" i="5"/>
  <c r="H62" i="24"/>
  <c r="F62" i="25"/>
  <c r="F173" i="5"/>
  <c r="F172" i="5" s="1"/>
  <c r="F177" i="5"/>
  <c r="D128" i="1"/>
  <c r="D137" i="1"/>
  <c r="D135" i="1" s="1"/>
  <c r="G62" i="27"/>
  <c r="C183" i="5"/>
  <c r="B36" i="35"/>
  <c r="D36" i="35"/>
  <c r="E183" i="5"/>
  <c r="G95" i="35"/>
  <c r="G122" i="35"/>
  <c r="G20" i="18" s="1"/>
  <c r="G155" i="5"/>
  <c r="G117" i="5"/>
  <c r="I35" i="23"/>
  <c r="F175" i="5"/>
  <c r="F28" i="19"/>
  <c r="G35" i="5"/>
  <c r="F59" i="5"/>
  <c r="G62" i="26"/>
  <c r="G28" i="19"/>
  <c r="G59" i="5"/>
  <c r="G36" i="28"/>
  <c r="G36" i="27"/>
  <c r="H62" i="29"/>
  <c r="G67" i="35"/>
  <c r="H22" i="19" s="1"/>
  <c r="G68" i="35"/>
  <c r="G37" i="35"/>
  <c r="H14" i="19" s="1"/>
  <c r="H21" i="19"/>
  <c r="H24" i="19" s="1"/>
  <c r="G34" i="35"/>
  <c r="E115" i="5"/>
  <c r="E124" i="5"/>
  <c r="E125" i="5" s="1"/>
  <c r="E127" i="5" s="1"/>
  <c r="E176" i="5" s="1"/>
  <c r="F62" i="23"/>
  <c r="F17" i="19"/>
  <c r="E29" i="19"/>
  <c r="N97" i="10"/>
  <c r="G130" i="1"/>
  <c r="G132" i="1" s="1"/>
  <c r="G134" i="1" s="1"/>
  <c r="G101" i="5"/>
  <c r="G36" i="26"/>
  <c r="C63" i="24"/>
  <c r="H36" i="24"/>
  <c r="J95" i="10"/>
  <c r="C97" i="10"/>
  <c r="C99" i="5"/>
  <c r="G55" i="5"/>
  <c r="G128" i="1" l="1"/>
  <c r="J128" i="1" s="1"/>
  <c r="G137" i="1"/>
  <c r="G135" i="1" s="1"/>
  <c r="J135" i="1" s="1"/>
  <c r="G29" i="19"/>
  <c r="F29" i="19"/>
  <c r="G16" i="19"/>
  <c r="G17" i="19"/>
  <c r="H62" i="28"/>
  <c r="H62" i="26"/>
  <c r="L97" i="10"/>
  <c r="E130" i="1"/>
  <c r="E132" i="1" s="1"/>
  <c r="E134" i="1" s="1"/>
  <c r="E101" i="5"/>
  <c r="D173" i="5"/>
  <c r="D172" i="5" s="1"/>
  <c r="D177" i="5"/>
  <c r="D175" i="5" s="1"/>
  <c r="I36" i="24"/>
  <c r="G138" i="5"/>
  <c r="G145" i="5"/>
  <c r="G143" i="5" s="1"/>
  <c r="F38" i="35" s="1"/>
  <c r="G36" i="23"/>
  <c r="E138" i="5"/>
  <c r="E145" i="5"/>
  <c r="E143" i="5" s="1"/>
  <c r="D38" i="35" s="1"/>
  <c r="C130" i="1"/>
  <c r="C132" i="1" s="1"/>
  <c r="C134" i="1" s="1"/>
  <c r="J97" i="10"/>
  <c r="C101" i="5"/>
  <c r="B15" i="21"/>
  <c r="H34" i="19"/>
  <c r="H38" i="19" s="1"/>
  <c r="H41" i="19" s="1"/>
  <c r="H62" i="27"/>
  <c r="F63" i="24"/>
  <c r="H36" i="27"/>
  <c r="C63" i="27"/>
  <c r="F128" i="1"/>
  <c r="F137" i="1"/>
  <c r="F135" i="1" s="1"/>
  <c r="H36" i="26"/>
  <c r="C63" i="26"/>
  <c r="E155" i="5"/>
  <c r="E117" i="5"/>
  <c r="D29" i="19"/>
  <c r="E17" i="19"/>
  <c r="E16" i="19"/>
  <c r="D17" i="19"/>
  <c r="N17" i="19" s="1"/>
  <c r="D16" i="19"/>
  <c r="C155" i="5"/>
  <c r="C117" i="5"/>
  <c r="F63" i="29"/>
  <c r="G173" i="5"/>
  <c r="G172" i="5" s="1"/>
  <c r="G177" i="5"/>
  <c r="G175" i="5" s="1"/>
  <c r="F16" i="19"/>
  <c r="G62" i="23"/>
  <c r="G117" i="35"/>
  <c r="G70" i="35"/>
  <c r="H36" i="28"/>
  <c r="C63" i="28"/>
  <c r="G141" i="5"/>
  <c r="G140" i="5" s="1"/>
  <c r="G147" i="5" s="1"/>
  <c r="G129" i="5"/>
  <c r="G137" i="5"/>
  <c r="G136" i="5" s="1"/>
  <c r="G62" i="25"/>
  <c r="D145" i="5"/>
  <c r="D143" i="5" s="1"/>
  <c r="D138" i="5"/>
  <c r="D136" i="5" s="1"/>
  <c r="G36" i="25"/>
  <c r="F141" i="5"/>
  <c r="F140" i="5" s="1"/>
  <c r="F147" i="5" s="1"/>
  <c r="F137" i="5"/>
  <c r="F136" i="5" s="1"/>
  <c r="F129" i="5"/>
  <c r="I36" i="29"/>
  <c r="E177" i="5"/>
  <c r="E175" i="5" s="1"/>
  <c r="E173" i="5"/>
  <c r="E172" i="5" s="1"/>
  <c r="G7" i="18" l="1"/>
  <c r="G123" i="35"/>
  <c r="F180" i="5"/>
  <c r="F179" i="5"/>
  <c r="F181" i="5"/>
  <c r="F182" i="5" s="1"/>
  <c r="F184" i="5"/>
  <c r="D180" i="5"/>
  <c r="D181" i="5"/>
  <c r="D179" i="5"/>
  <c r="D184" i="5"/>
  <c r="G164" i="35"/>
  <c r="G167" i="35" s="1"/>
  <c r="G104" i="35" s="1"/>
  <c r="G106" i="35" s="1"/>
  <c r="G63" i="29"/>
  <c r="E137" i="5"/>
  <c r="E136" i="5" s="1"/>
  <c r="E141" i="5"/>
  <c r="E140" i="5" s="1"/>
  <c r="E129" i="5"/>
  <c r="I36" i="26"/>
  <c r="F63" i="27"/>
  <c r="G63" i="24"/>
  <c r="C128" i="1"/>
  <c r="C137" i="1"/>
  <c r="C135" i="1" s="1"/>
  <c r="G37" i="24"/>
  <c r="G37" i="29"/>
  <c r="C38" i="35"/>
  <c r="D147" i="5"/>
  <c r="C129" i="5"/>
  <c r="C141" i="5"/>
  <c r="C140" i="5" s="1"/>
  <c r="C137" i="5"/>
  <c r="C136" i="5" s="1"/>
  <c r="E137" i="1"/>
  <c r="E135" i="1" s="1"/>
  <c r="E128" i="1"/>
  <c r="G180" i="5"/>
  <c r="G181" i="5"/>
  <c r="G182" i="5" s="1"/>
  <c r="G179" i="5"/>
  <c r="G184" i="5"/>
  <c r="F63" i="28"/>
  <c r="I36" i="27"/>
  <c r="D15" i="21"/>
  <c r="D16" i="21" s="1"/>
  <c r="F16" i="21" s="1"/>
  <c r="C63" i="23"/>
  <c r="H36" i="23"/>
  <c r="H36" i="25"/>
  <c r="C63" i="25"/>
  <c r="H62" i="25"/>
  <c r="I36" i="28"/>
  <c r="H62" i="23"/>
  <c r="N16" i="19"/>
  <c r="F63" i="26"/>
  <c r="D182" i="5"/>
  <c r="G63" i="26" l="1"/>
  <c r="C180" i="5"/>
  <c r="C181" i="5"/>
  <c r="C182" i="5" s="1"/>
  <c r="C179" i="5"/>
  <c r="C184" i="5"/>
  <c r="H30" i="19"/>
  <c r="G107" i="35"/>
  <c r="F63" i="25"/>
  <c r="G37" i="27"/>
  <c r="C147" i="5"/>
  <c r="C64" i="24"/>
  <c r="F64" i="24" s="1"/>
  <c r="G64" i="24" s="1"/>
  <c r="H64" i="24" s="1"/>
  <c r="H37" i="24"/>
  <c r="I37" i="24" s="1"/>
  <c r="G63" i="27"/>
  <c r="E147" i="5"/>
  <c r="G36" i="35"/>
  <c r="G37" i="28"/>
  <c r="G37" i="26"/>
  <c r="E180" i="5"/>
  <c r="E181" i="5"/>
  <c r="E182" i="5" s="1"/>
  <c r="E179" i="5"/>
  <c r="E184" i="5"/>
  <c r="I36" i="23"/>
  <c r="G63" i="28"/>
  <c r="H63" i="24"/>
  <c r="I36" i="25"/>
  <c r="F63" i="23"/>
  <c r="C64" i="29"/>
  <c r="F64" i="29" s="1"/>
  <c r="G64" i="29" s="1"/>
  <c r="H64" i="29" s="1"/>
  <c r="H37" i="29"/>
  <c r="I37" i="29" s="1"/>
  <c r="H63" i="29"/>
  <c r="G10" i="18"/>
  <c r="G30" i="18" s="1"/>
  <c r="G58" i="18"/>
  <c r="G51" i="18" l="1"/>
  <c r="G55" i="18" s="1"/>
  <c r="G31" i="18"/>
  <c r="G32" i="18"/>
  <c r="C64" i="27"/>
  <c r="F64" i="27" s="1"/>
  <c r="G64" i="27" s="1"/>
  <c r="H64" i="27" s="1"/>
  <c r="H37" i="27"/>
  <c r="I37" i="27" s="1"/>
  <c r="H63" i="28"/>
  <c r="G38" i="29"/>
  <c r="G37" i="25"/>
  <c r="C64" i="28"/>
  <c r="F64" i="28" s="1"/>
  <c r="G64" i="28" s="1"/>
  <c r="H64" i="28" s="1"/>
  <c r="H37" i="28"/>
  <c r="I37" i="28" s="1"/>
  <c r="H63" i="27"/>
  <c r="G87" i="35"/>
  <c r="G102" i="35"/>
  <c r="G100" i="35" s="1"/>
  <c r="G99" i="35" s="1"/>
  <c r="G38" i="24"/>
  <c r="I35" i="19"/>
  <c r="I37" i="19" s="1"/>
  <c r="I38" i="19" s="1"/>
  <c r="I41" i="19" s="1"/>
  <c r="H42" i="19" s="1"/>
  <c r="H45" i="19" s="1"/>
  <c r="I31" i="19"/>
  <c r="H31" i="19"/>
  <c r="C64" i="26"/>
  <c r="F64" i="26" s="1"/>
  <c r="G64" i="26" s="1"/>
  <c r="H64" i="26" s="1"/>
  <c r="H37" i="26"/>
  <c r="I37" i="26" s="1"/>
  <c r="G63" i="23"/>
  <c r="G37" i="23"/>
  <c r="G63" i="25"/>
  <c r="H63" i="26"/>
  <c r="G38" i="26" l="1"/>
  <c r="B11" i="21"/>
  <c r="D11" i="21" s="1"/>
  <c r="H47" i="19"/>
  <c r="G109" i="35"/>
  <c r="H28" i="19"/>
  <c r="G76" i="35"/>
  <c r="G38" i="35"/>
  <c r="C64" i="23"/>
  <c r="F64" i="23" s="1"/>
  <c r="G64" i="23" s="1"/>
  <c r="H64" i="23" s="1"/>
  <c r="H37" i="23"/>
  <c r="I37" i="23" s="1"/>
  <c r="C65" i="24"/>
  <c r="F65" i="24" s="1"/>
  <c r="G65" i="24" s="1"/>
  <c r="H65" i="24" s="1"/>
  <c r="H38" i="24"/>
  <c r="I38" i="24" s="1"/>
  <c r="C64" i="25"/>
  <c r="F64" i="25" s="1"/>
  <c r="G64" i="25" s="1"/>
  <c r="H64" i="25" s="1"/>
  <c r="H37" i="25"/>
  <c r="I37" i="25" s="1"/>
  <c r="H63" i="25"/>
  <c r="H63" i="23"/>
  <c r="G96" i="35"/>
  <c r="G132" i="35" s="1"/>
  <c r="G136" i="35" s="1"/>
  <c r="G35" i="35"/>
  <c r="G38" i="28"/>
  <c r="C65" i="29"/>
  <c r="F65" i="29" s="1"/>
  <c r="G65" i="29" s="1"/>
  <c r="H65" i="29" s="1"/>
  <c r="H38" i="29"/>
  <c r="I38" i="29" s="1"/>
  <c r="G38" i="27"/>
  <c r="G59" i="18"/>
  <c r="G56" i="18"/>
  <c r="G39" i="29" l="1"/>
  <c r="G39" i="24"/>
  <c r="G81" i="35"/>
  <c r="G32" i="35" s="1"/>
  <c r="G141" i="35"/>
  <c r="G139" i="35" s="1"/>
  <c r="G138" i="35" s="1"/>
  <c r="G33" i="35"/>
  <c r="G38" i="25"/>
  <c r="G38" i="23"/>
  <c r="H29" i="19"/>
  <c r="H16" i="19"/>
  <c r="H17" i="19"/>
  <c r="C65" i="26"/>
  <c r="F65" i="26" s="1"/>
  <c r="G65" i="26" s="1"/>
  <c r="H65" i="26" s="1"/>
  <c r="H38" i="26"/>
  <c r="I38" i="26" s="1"/>
  <c r="C65" i="27"/>
  <c r="F65" i="27" s="1"/>
  <c r="G65" i="27" s="1"/>
  <c r="H65" i="27" s="1"/>
  <c r="H38" i="27"/>
  <c r="I38" i="27" s="1"/>
  <c r="C65" i="28"/>
  <c r="F65" i="28" s="1"/>
  <c r="G65" i="28" s="1"/>
  <c r="H65" i="28" s="1"/>
  <c r="H38" i="28"/>
  <c r="I38" i="28" s="1"/>
  <c r="G39" i="28" l="1"/>
  <c r="G39" i="26"/>
  <c r="G39" i="27"/>
  <c r="C65" i="23"/>
  <c r="F65" i="23" s="1"/>
  <c r="G65" i="23" s="1"/>
  <c r="H65" i="23" s="1"/>
  <c r="H38" i="23"/>
  <c r="I38" i="23" s="1"/>
  <c r="C66" i="29"/>
  <c r="F66" i="29" s="1"/>
  <c r="G66" i="29" s="1"/>
  <c r="H66" i="29" s="1"/>
  <c r="H39" i="29"/>
  <c r="I39" i="29" s="1"/>
  <c r="C66" i="24"/>
  <c r="F66" i="24" s="1"/>
  <c r="G66" i="24" s="1"/>
  <c r="H66" i="24" s="1"/>
  <c r="H39" i="24"/>
  <c r="I39" i="24" s="1"/>
  <c r="C65" i="25"/>
  <c r="F65" i="25" s="1"/>
  <c r="G65" i="25" s="1"/>
  <c r="H65" i="25" s="1"/>
  <c r="H38" i="25"/>
  <c r="I38" i="25" s="1"/>
  <c r="G40" i="24" l="1"/>
  <c r="G39" i="23"/>
  <c r="C66" i="26"/>
  <c r="F66" i="26" s="1"/>
  <c r="G66" i="26" s="1"/>
  <c r="H66" i="26" s="1"/>
  <c r="H39" i="26"/>
  <c r="I39" i="26" s="1"/>
  <c r="G39" i="25"/>
  <c r="G40" i="29"/>
  <c r="C66" i="27"/>
  <c r="F66" i="27" s="1"/>
  <c r="G66" i="27" s="1"/>
  <c r="H66" i="27" s="1"/>
  <c r="H39" i="27"/>
  <c r="I39" i="27" s="1"/>
  <c r="C66" i="28"/>
  <c r="F66" i="28" s="1"/>
  <c r="G66" i="28" s="1"/>
  <c r="H66" i="28" s="1"/>
  <c r="H39" i="28"/>
  <c r="I39" i="28" s="1"/>
  <c r="G40" i="27" l="1"/>
  <c r="C66" i="25"/>
  <c r="F66" i="25" s="1"/>
  <c r="G66" i="25" s="1"/>
  <c r="H66" i="25" s="1"/>
  <c r="H39" i="25"/>
  <c r="I39" i="25" s="1"/>
  <c r="C66" i="23"/>
  <c r="F66" i="23" s="1"/>
  <c r="G66" i="23" s="1"/>
  <c r="H66" i="23" s="1"/>
  <c r="H39" i="23"/>
  <c r="I39" i="23" s="1"/>
  <c r="G40" i="28"/>
  <c r="G40" i="26"/>
  <c r="C67" i="29"/>
  <c r="F67" i="29" s="1"/>
  <c r="G67" i="29" s="1"/>
  <c r="H67" i="29" s="1"/>
  <c r="H40" i="29"/>
  <c r="I40" i="29" s="1"/>
  <c r="C67" i="24"/>
  <c r="F67" i="24" s="1"/>
  <c r="G67" i="24" s="1"/>
  <c r="H67" i="24" s="1"/>
  <c r="H40" i="24"/>
  <c r="I40" i="24" s="1"/>
  <c r="G41" i="29" l="1"/>
  <c r="C67" i="28"/>
  <c r="F67" i="28" s="1"/>
  <c r="G67" i="28" s="1"/>
  <c r="H67" i="28" s="1"/>
  <c r="H40" i="28"/>
  <c r="I40" i="28" s="1"/>
  <c r="G40" i="25"/>
  <c r="G41" i="24"/>
  <c r="G40" i="23"/>
  <c r="C67" i="27"/>
  <c r="F67" i="27" s="1"/>
  <c r="G67" i="27" s="1"/>
  <c r="H67" i="27" s="1"/>
  <c r="H40" i="27"/>
  <c r="I40" i="27" s="1"/>
  <c r="C67" i="26"/>
  <c r="F67" i="26" s="1"/>
  <c r="G67" i="26" s="1"/>
  <c r="H67" i="26" s="1"/>
  <c r="H40" i="26"/>
  <c r="I40" i="26" s="1"/>
  <c r="G41" i="27" l="1"/>
  <c r="C68" i="24"/>
  <c r="F68" i="24" s="1"/>
  <c r="G68" i="24" s="1"/>
  <c r="H68" i="24" s="1"/>
  <c r="H41" i="24"/>
  <c r="I41" i="24" s="1"/>
  <c r="G41" i="28"/>
  <c r="G41" i="26"/>
  <c r="C67" i="23"/>
  <c r="F67" i="23" s="1"/>
  <c r="G67" i="23" s="1"/>
  <c r="H67" i="23" s="1"/>
  <c r="H40" i="23"/>
  <c r="I40" i="23" s="1"/>
  <c r="C67" i="25"/>
  <c r="F67" i="25" s="1"/>
  <c r="G67" i="25" s="1"/>
  <c r="H67" i="25" s="1"/>
  <c r="H40" i="25"/>
  <c r="I40" i="25" s="1"/>
  <c r="C68" i="29"/>
  <c r="F68" i="29" s="1"/>
  <c r="G68" i="29" s="1"/>
  <c r="H68" i="29" s="1"/>
  <c r="H41" i="29"/>
  <c r="I41" i="29" s="1"/>
  <c r="G41" i="25" l="1"/>
  <c r="C68" i="26"/>
  <c r="F68" i="26" s="1"/>
  <c r="G68" i="26" s="1"/>
  <c r="H68" i="26" s="1"/>
  <c r="H41" i="26"/>
  <c r="I41" i="26" s="1"/>
  <c r="G42" i="24"/>
  <c r="G42" i="29"/>
  <c r="G41" i="23"/>
  <c r="C68" i="28"/>
  <c r="F68" i="28" s="1"/>
  <c r="G68" i="28" s="1"/>
  <c r="H68" i="28" s="1"/>
  <c r="H41" i="28"/>
  <c r="I41" i="28" s="1"/>
  <c r="C68" i="27"/>
  <c r="F68" i="27" s="1"/>
  <c r="G68" i="27" s="1"/>
  <c r="H68" i="27" s="1"/>
  <c r="H41" i="27"/>
  <c r="I41" i="27" s="1"/>
  <c r="G42" i="28" l="1"/>
  <c r="G42" i="26"/>
  <c r="C69" i="29"/>
  <c r="F69" i="29" s="1"/>
  <c r="G69" i="29" s="1"/>
  <c r="H69" i="29" s="1"/>
  <c r="H42" i="29"/>
  <c r="I42" i="29" s="1"/>
  <c r="G42" i="27"/>
  <c r="C69" i="24"/>
  <c r="F69" i="24" s="1"/>
  <c r="G69" i="24" s="1"/>
  <c r="H69" i="24" s="1"/>
  <c r="H42" i="24"/>
  <c r="I42" i="24" s="1"/>
  <c r="C68" i="23"/>
  <c r="F68" i="23" s="1"/>
  <c r="G68" i="23" s="1"/>
  <c r="H68" i="23" s="1"/>
  <c r="H41" i="23"/>
  <c r="I41" i="23" s="1"/>
  <c r="C68" i="25"/>
  <c r="F68" i="25" s="1"/>
  <c r="G68" i="25" s="1"/>
  <c r="H68" i="25" s="1"/>
  <c r="H41" i="25"/>
  <c r="I41" i="25" s="1"/>
  <c r="C69" i="27" l="1"/>
  <c r="F69" i="27" s="1"/>
  <c r="G69" i="27" s="1"/>
  <c r="H69" i="27" s="1"/>
  <c r="H42" i="27"/>
  <c r="I42" i="27" s="1"/>
  <c r="G42" i="23"/>
  <c r="C69" i="26"/>
  <c r="F69" i="26" s="1"/>
  <c r="G69" i="26" s="1"/>
  <c r="H69" i="26" s="1"/>
  <c r="H42" i="26"/>
  <c r="I42" i="26" s="1"/>
  <c r="G42" i="25"/>
  <c r="G43" i="24"/>
  <c r="G43" i="29"/>
  <c r="C69" i="28"/>
  <c r="F69" i="28" s="1"/>
  <c r="G69" i="28" s="1"/>
  <c r="H69" i="28" s="1"/>
  <c r="H42" i="28"/>
  <c r="I42" i="28" s="1"/>
  <c r="C69" i="23" l="1"/>
  <c r="F69" i="23" s="1"/>
  <c r="G69" i="23" s="1"/>
  <c r="H69" i="23" s="1"/>
  <c r="H42" i="23"/>
  <c r="I42" i="23" s="1"/>
  <c r="C70" i="29"/>
  <c r="F70" i="29" s="1"/>
  <c r="G70" i="29" s="1"/>
  <c r="H70" i="29" s="1"/>
  <c r="H43" i="29"/>
  <c r="I43" i="29" s="1"/>
  <c r="C69" i="25"/>
  <c r="F69" i="25" s="1"/>
  <c r="G69" i="25" s="1"/>
  <c r="H69" i="25" s="1"/>
  <c r="H42" i="25"/>
  <c r="I42" i="25" s="1"/>
  <c r="G43" i="28"/>
  <c r="G43" i="26"/>
  <c r="G43" i="27"/>
  <c r="C70" i="24"/>
  <c r="F70" i="24" s="1"/>
  <c r="G70" i="24" s="1"/>
  <c r="H70" i="24" s="1"/>
  <c r="H43" i="24"/>
  <c r="I43" i="24" s="1"/>
  <c r="C70" i="27" l="1"/>
  <c r="F70" i="27" s="1"/>
  <c r="G70" i="27" s="1"/>
  <c r="H70" i="27" s="1"/>
  <c r="H43" i="27"/>
  <c r="I43" i="27" s="1"/>
  <c r="G44" i="29"/>
  <c r="C70" i="28"/>
  <c r="F70" i="28" s="1"/>
  <c r="G70" i="28" s="1"/>
  <c r="H70" i="28" s="1"/>
  <c r="H43" i="28"/>
  <c r="I43" i="28" s="1"/>
  <c r="G44" i="24"/>
  <c r="G43" i="25"/>
  <c r="G43" i="23"/>
  <c r="C70" i="26"/>
  <c r="F70" i="26" s="1"/>
  <c r="G70" i="26" s="1"/>
  <c r="H70" i="26" s="1"/>
  <c r="H43" i="26"/>
  <c r="I43" i="26" s="1"/>
  <c r="C71" i="24" l="1"/>
  <c r="F71" i="24" s="1"/>
  <c r="G71" i="24" s="1"/>
  <c r="H71" i="24" s="1"/>
  <c r="H44" i="24"/>
  <c r="I44" i="24" s="1"/>
  <c r="C70" i="23"/>
  <c r="F70" i="23" s="1"/>
  <c r="G70" i="23" s="1"/>
  <c r="H70" i="23" s="1"/>
  <c r="H43" i="23"/>
  <c r="I43" i="23" s="1"/>
  <c r="C71" i="29"/>
  <c r="F71" i="29" s="1"/>
  <c r="G71" i="29" s="1"/>
  <c r="H71" i="29" s="1"/>
  <c r="H44" i="29"/>
  <c r="I44" i="29" s="1"/>
  <c r="G44" i="26"/>
  <c r="C70" i="25"/>
  <c r="F70" i="25" s="1"/>
  <c r="G70" i="25" s="1"/>
  <c r="H70" i="25" s="1"/>
  <c r="H43" i="25"/>
  <c r="I43" i="25" s="1"/>
  <c r="G44" i="28"/>
  <c r="G44" i="27"/>
  <c r="C71" i="26" l="1"/>
  <c r="F71" i="26" s="1"/>
  <c r="G71" i="26" s="1"/>
  <c r="H71" i="26" s="1"/>
  <c r="H44" i="26"/>
  <c r="I44" i="26" s="1"/>
  <c r="C71" i="28"/>
  <c r="F71" i="28" s="1"/>
  <c r="G71" i="28" s="1"/>
  <c r="H71" i="28" s="1"/>
  <c r="H44" i="28"/>
  <c r="I44" i="28" s="1"/>
  <c r="G44" i="23"/>
  <c r="C71" i="27"/>
  <c r="F71" i="27" s="1"/>
  <c r="G71" i="27" s="1"/>
  <c r="H71" i="27" s="1"/>
  <c r="H44" i="27"/>
  <c r="I44" i="27" s="1"/>
  <c r="G44" i="25"/>
  <c r="G45" i="29"/>
  <c r="G45" i="24"/>
  <c r="C72" i="29" l="1"/>
  <c r="F72" i="29" s="1"/>
  <c r="G72" i="29" s="1"/>
  <c r="H72" i="29" s="1"/>
  <c r="H45" i="29"/>
  <c r="I45" i="29" s="1"/>
  <c r="G45" i="27"/>
  <c r="G45" i="28"/>
  <c r="C72" i="24"/>
  <c r="F72" i="24" s="1"/>
  <c r="G72" i="24" s="1"/>
  <c r="H72" i="24" s="1"/>
  <c r="H45" i="24"/>
  <c r="I45" i="24" s="1"/>
  <c r="C71" i="23"/>
  <c r="F71" i="23" s="1"/>
  <c r="G71" i="23" s="1"/>
  <c r="H71" i="23" s="1"/>
  <c r="H44" i="23"/>
  <c r="I44" i="23" s="1"/>
  <c r="G45" i="26"/>
  <c r="C71" i="25"/>
  <c r="F71" i="25" s="1"/>
  <c r="G71" i="25" s="1"/>
  <c r="H71" i="25" s="1"/>
  <c r="H44" i="25"/>
  <c r="I44" i="25" s="1"/>
  <c r="C72" i="27" l="1"/>
  <c r="F72" i="27" s="1"/>
  <c r="G72" i="27" s="1"/>
  <c r="H72" i="27" s="1"/>
  <c r="H45" i="27"/>
  <c r="I45" i="27" s="1"/>
  <c r="C72" i="26"/>
  <c r="F72" i="26" s="1"/>
  <c r="G72" i="26" s="1"/>
  <c r="H72" i="26" s="1"/>
  <c r="H45" i="26"/>
  <c r="I45" i="26" s="1"/>
  <c r="G46" i="24"/>
  <c r="G45" i="25"/>
  <c r="G45" i="23"/>
  <c r="C72" i="28"/>
  <c r="F72" i="28" s="1"/>
  <c r="G72" i="28" s="1"/>
  <c r="H72" i="28" s="1"/>
  <c r="H45" i="28"/>
  <c r="I45" i="28" s="1"/>
  <c r="G46" i="29"/>
  <c r="G46" i="28" l="1"/>
  <c r="G46" i="26"/>
  <c r="C73" i="24"/>
  <c r="F73" i="24" s="1"/>
  <c r="G73" i="24" s="1"/>
  <c r="H73" i="24" s="1"/>
  <c r="H46" i="24"/>
  <c r="I46" i="24" s="1"/>
  <c r="G46" i="27"/>
  <c r="C72" i="25"/>
  <c r="F72" i="25" s="1"/>
  <c r="G72" i="25" s="1"/>
  <c r="H72" i="25" s="1"/>
  <c r="H45" i="25"/>
  <c r="I45" i="25" s="1"/>
  <c r="C73" i="29"/>
  <c r="F73" i="29" s="1"/>
  <c r="G73" i="29" s="1"/>
  <c r="H73" i="29" s="1"/>
  <c r="H46" i="29"/>
  <c r="I46" i="29" s="1"/>
  <c r="C72" i="23"/>
  <c r="F72" i="23" s="1"/>
  <c r="G72" i="23" s="1"/>
  <c r="H72" i="23" s="1"/>
  <c r="H45" i="23"/>
  <c r="I45" i="23" s="1"/>
  <c r="C73" i="27" l="1"/>
  <c r="F73" i="27" s="1"/>
  <c r="G73" i="27" s="1"/>
  <c r="H73" i="27" s="1"/>
  <c r="H46" i="27"/>
  <c r="I46" i="27" s="1"/>
  <c r="G47" i="29"/>
  <c r="C73" i="26"/>
  <c r="F73" i="26" s="1"/>
  <c r="G73" i="26" s="1"/>
  <c r="H73" i="26" s="1"/>
  <c r="H46" i="26"/>
  <c r="I46" i="26" s="1"/>
  <c r="G46" i="23"/>
  <c r="G46" i="25"/>
  <c r="G47" i="24"/>
  <c r="C73" i="28"/>
  <c r="F73" i="28" s="1"/>
  <c r="G73" i="28" s="1"/>
  <c r="H73" i="28" s="1"/>
  <c r="H46" i="28"/>
  <c r="I46" i="28" s="1"/>
  <c r="C74" i="24" l="1"/>
  <c r="F74" i="24" s="1"/>
  <c r="G74" i="24" s="1"/>
  <c r="H74" i="24" s="1"/>
  <c r="H47" i="24"/>
  <c r="I47" i="24" s="1"/>
  <c r="C74" i="29"/>
  <c r="F74" i="29" s="1"/>
  <c r="G74" i="29" s="1"/>
  <c r="H74" i="29" s="1"/>
  <c r="H47" i="29"/>
  <c r="I47" i="29" s="1"/>
  <c r="G47" i="28"/>
  <c r="C73" i="25"/>
  <c r="F73" i="25" s="1"/>
  <c r="G73" i="25" s="1"/>
  <c r="H73" i="25" s="1"/>
  <c r="H46" i="25"/>
  <c r="I46" i="25" s="1"/>
  <c r="G47" i="26"/>
  <c r="G47" i="27"/>
  <c r="C73" i="23"/>
  <c r="F73" i="23" s="1"/>
  <c r="G73" i="23" s="1"/>
  <c r="H73" i="23" s="1"/>
  <c r="H46" i="23"/>
  <c r="I46" i="23" s="1"/>
  <c r="C74" i="27" l="1"/>
  <c r="F74" i="27" s="1"/>
  <c r="G74" i="27" s="1"/>
  <c r="H74" i="27" s="1"/>
  <c r="H47" i="27"/>
  <c r="I47" i="27" s="1"/>
  <c r="G47" i="25"/>
  <c r="G48" i="29"/>
  <c r="G47" i="23"/>
  <c r="G48" i="24"/>
  <c r="C74" i="26"/>
  <c r="F74" i="26" s="1"/>
  <c r="G74" i="26" s="1"/>
  <c r="H74" i="26" s="1"/>
  <c r="H47" i="26"/>
  <c r="I47" i="26" s="1"/>
  <c r="C74" i="28"/>
  <c r="F74" i="28" s="1"/>
  <c r="G74" i="28" s="1"/>
  <c r="H74" i="28" s="1"/>
  <c r="H47" i="28"/>
  <c r="I47" i="28" s="1"/>
  <c r="G48" i="26" l="1"/>
  <c r="C74" i="23"/>
  <c r="F74" i="23" s="1"/>
  <c r="G74" i="23" s="1"/>
  <c r="H74" i="23" s="1"/>
  <c r="H47" i="23"/>
  <c r="I47" i="23" s="1"/>
  <c r="C74" i="25"/>
  <c r="F74" i="25" s="1"/>
  <c r="G74" i="25" s="1"/>
  <c r="H74" i="25" s="1"/>
  <c r="H47" i="25"/>
  <c r="I47" i="25" s="1"/>
  <c r="G48" i="28"/>
  <c r="G48" i="27"/>
  <c r="C75" i="24"/>
  <c r="F75" i="24" s="1"/>
  <c r="G75" i="24" s="1"/>
  <c r="H75" i="24" s="1"/>
  <c r="H48" i="24"/>
  <c r="I48" i="24" s="1"/>
  <c r="C75" i="29"/>
  <c r="F75" i="29" s="1"/>
  <c r="G75" i="29" s="1"/>
  <c r="H75" i="29" s="1"/>
  <c r="H48" i="29"/>
  <c r="I48" i="29" s="1"/>
  <c r="G49" i="24" l="1"/>
  <c r="C75" i="28"/>
  <c r="F75" i="28" s="1"/>
  <c r="G75" i="28" s="1"/>
  <c r="H75" i="28" s="1"/>
  <c r="H48" i="28"/>
  <c r="I48" i="28" s="1"/>
  <c r="G48" i="23"/>
  <c r="G49" i="29"/>
  <c r="C75" i="27"/>
  <c r="F75" i="27" s="1"/>
  <c r="G75" i="27" s="1"/>
  <c r="H75" i="27" s="1"/>
  <c r="H48" i="27"/>
  <c r="I48" i="27" s="1"/>
  <c r="G48" i="25"/>
  <c r="C75" i="26"/>
  <c r="F75" i="26" s="1"/>
  <c r="G75" i="26" s="1"/>
  <c r="H75" i="26" s="1"/>
  <c r="H48" i="26"/>
  <c r="I48" i="26" s="1"/>
  <c r="C75" i="25" l="1"/>
  <c r="F75" i="25" s="1"/>
  <c r="G75" i="25" s="1"/>
  <c r="H75" i="25" s="1"/>
  <c r="H48" i="25"/>
  <c r="I48" i="25" s="1"/>
  <c r="G49" i="28"/>
  <c r="G49" i="26"/>
  <c r="G49" i="27"/>
  <c r="C75" i="23"/>
  <c r="F75" i="23" s="1"/>
  <c r="G75" i="23" s="1"/>
  <c r="H75" i="23" s="1"/>
  <c r="H48" i="23"/>
  <c r="I48" i="23" s="1"/>
  <c r="C76" i="24"/>
  <c r="F76" i="24" s="1"/>
  <c r="G76" i="24" s="1"/>
  <c r="H76" i="24" s="1"/>
  <c r="H49" i="24"/>
  <c r="I49" i="24" s="1"/>
  <c r="C76" i="29"/>
  <c r="F76" i="29" s="1"/>
  <c r="G76" i="29" s="1"/>
  <c r="H76" i="29" s="1"/>
  <c r="H49" i="29"/>
  <c r="I49" i="29" s="1"/>
  <c r="C76" i="27" l="1"/>
  <c r="F76" i="27" s="1"/>
  <c r="G76" i="27" s="1"/>
  <c r="H76" i="27" s="1"/>
  <c r="H49" i="27"/>
  <c r="I49" i="27" s="1"/>
  <c r="G50" i="24"/>
  <c r="C76" i="28"/>
  <c r="F76" i="28" s="1"/>
  <c r="G76" i="28" s="1"/>
  <c r="H76" i="28" s="1"/>
  <c r="H49" i="28"/>
  <c r="I49" i="28" s="1"/>
  <c r="G50" i="29"/>
  <c r="G49" i="23"/>
  <c r="C76" i="26"/>
  <c r="F76" i="26" s="1"/>
  <c r="G76" i="26" s="1"/>
  <c r="H76" i="26" s="1"/>
  <c r="H49" i="26"/>
  <c r="I49" i="26" s="1"/>
  <c r="G49" i="25"/>
  <c r="G50" i="26" l="1"/>
  <c r="C77" i="24"/>
  <c r="F77" i="24" s="1"/>
  <c r="G77" i="24" s="1"/>
  <c r="H77" i="24" s="1"/>
  <c r="H50" i="24"/>
  <c r="I50" i="24" s="1"/>
  <c r="G50" i="28"/>
  <c r="G50" i="27"/>
  <c r="C77" i="29"/>
  <c r="F77" i="29" s="1"/>
  <c r="G77" i="29" s="1"/>
  <c r="H77" i="29" s="1"/>
  <c r="H50" i="29"/>
  <c r="I50" i="29" s="1"/>
  <c r="C76" i="25"/>
  <c r="F76" i="25" s="1"/>
  <c r="G76" i="25" s="1"/>
  <c r="H76" i="25" s="1"/>
  <c r="H49" i="25"/>
  <c r="I49" i="25" s="1"/>
  <c r="C76" i="23"/>
  <c r="F76" i="23" s="1"/>
  <c r="G76" i="23" s="1"/>
  <c r="H76" i="23" s="1"/>
  <c r="H49" i="23"/>
  <c r="I49" i="23" s="1"/>
  <c r="G50" i="25" l="1"/>
  <c r="G51" i="24"/>
  <c r="C77" i="27"/>
  <c r="F77" i="27" s="1"/>
  <c r="G77" i="27" s="1"/>
  <c r="H77" i="27" s="1"/>
  <c r="H50" i="27"/>
  <c r="I50" i="27" s="1"/>
  <c r="G50" i="23"/>
  <c r="G51" i="29"/>
  <c r="C77" i="26"/>
  <c r="F77" i="26" s="1"/>
  <c r="G77" i="26" s="1"/>
  <c r="H77" i="26" s="1"/>
  <c r="H50" i="26"/>
  <c r="I50" i="26" s="1"/>
  <c r="C77" i="28"/>
  <c r="F77" i="28" s="1"/>
  <c r="G77" i="28" s="1"/>
  <c r="H77" i="28" s="1"/>
  <c r="H50" i="28"/>
  <c r="I50" i="28" s="1"/>
  <c r="G51" i="26" l="1"/>
  <c r="C78" i="24"/>
  <c r="H51" i="24"/>
  <c r="G52" i="24"/>
  <c r="G51" i="28"/>
  <c r="G51" i="27"/>
  <c r="C77" i="25"/>
  <c r="F77" i="25" s="1"/>
  <c r="G77" i="25" s="1"/>
  <c r="H77" i="25" s="1"/>
  <c r="H50" i="25"/>
  <c r="I50" i="25" s="1"/>
  <c r="C77" i="23"/>
  <c r="F77" i="23" s="1"/>
  <c r="G77" i="23" s="1"/>
  <c r="H77" i="23" s="1"/>
  <c r="H50" i="23"/>
  <c r="I50" i="23" s="1"/>
  <c r="C78" i="29"/>
  <c r="H51" i="29"/>
  <c r="G52" i="29"/>
  <c r="H52" i="24" l="1"/>
  <c r="I51" i="24"/>
  <c r="G51" i="25"/>
  <c r="F78" i="29"/>
  <c r="C79" i="29"/>
  <c r="C78" i="28"/>
  <c r="H51" i="28"/>
  <c r="G52" i="28"/>
  <c r="H52" i="29"/>
  <c r="I51" i="29"/>
  <c r="F78" i="24"/>
  <c r="C79" i="24"/>
  <c r="G51" i="23"/>
  <c r="C78" i="27"/>
  <c r="H51" i="27"/>
  <c r="G52" i="27"/>
  <c r="C78" i="26"/>
  <c r="H51" i="26"/>
  <c r="G52" i="26"/>
  <c r="C78" i="23" l="1"/>
  <c r="H51" i="23"/>
  <c r="G52" i="23"/>
  <c r="H52" i="26"/>
  <c r="I51" i="26"/>
  <c r="F78" i="27"/>
  <c r="C79" i="27"/>
  <c r="G78" i="24"/>
  <c r="F79" i="24"/>
  <c r="H52" i="28"/>
  <c r="I51" i="28"/>
  <c r="C78" i="25"/>
  <c r="H51" i="25"/>
  <c r="G52" i="25"/>
  <c r="F78" i="26"/>
  <c r="C79" i="26"/>
  <c r="F78" i="28"/>
  <c r="C79" i="28"/>
  <c r="H52" i="27"/>
  <c r="I51" i="27"/>
  <c r="G78" i="29"/>
  <c r="F79" i="29"/>
  <c r="F78" i="25" l="1"/>
  <c r="C79" i="25"/>
  <c r="H78" i="24"/>
  <c r="H79" i="24" s="1"/>
  <c r="G79" i="24"/>
  <c r="G78" i="27"/>
  <c r="F79" i="27"/>
  <c r="H52" i="23"/>
  <c r="I51" i="23"/>
  <c r="G78" i="26"/>
  <c r="F79" i="26"/>
  <c r="H78" i="29"/>
  <c r="H79" i="29" s="1"/>
  <c r="G79" i="29"/>
  <c r="G78" i="28"/>
  <c r="F79" i="28"/>
  <c r="H52" i="25"/>
  <c r="I51" i="25"/>
  <c r="F78" i="23"/>
  <c r="C79" i="23"/>
  <c r="G78" i="23" l="1"/>
  <c r="F79" i="23"/>
  <c r="H78" i="28"/>
  <c r="H79" i="28" s="1"/>
  <c r="G79" i="28"/>
  <c r="H78" i="26"/>
  <c r="H79" i="26" s="1"/>
  <c r="G79" i="26"/>
  <c r="H78" i="27"/>
  <c r="H79" i="27" s="1"/>
  <c r="G79" i="27"/>
  <c r="G78" i="25"/>
  <c r="F79" i="25"/>
  <c r="H78" i="25" l="1"/>
  <c r="H79" i="25" s="1"/>
  <c r="G79" i="25"/>
  <c r="H78" i="23"/>
  <c r="H79" i="23" s="1"/>
  <c r="G79" i="23"/>
</calcChain>
</file>

<file path=xl/comments1.xml><?xml version="1.0" encoding="utf-8"?>
<comments xmlns="http://schemas.openxmlformats.org/spreadsheetml/2006/main">
  <authors>
    <author>Ronald E. Neufeld</author>
  </authors>
  <commentList>
    <comment ref="B42" authorId="0" shapeId="0">
      <text>
        <r>
          <rPr>
            <sz val="8"/>
            <color indexed="81"/>
            <rFont val="Arial"/>
            <family val="2"/>
          </rPr>
          <t xml:space="preserve">The </t>
        </r>
        <r>
          <rPr>
            <b/>
            <sz val="8"/>
            <color indexed="81"/>
            <rFont val="Arial"/>
            <family val="2"/>
          </rPr>
          <t>maximum</t>
        </r>
        <r>
          <rPr>
            <sz val="8"/>
            <color indexed="81"/>
            <rFont val="Arial"/>
            <family val="2"/>
          </rPr>
          <t xml:space="preserve"> points possible for each type of analysis adjustment will depend on the particular facts and circumstances of the company selected by the facilitator for use with the assignments.  It is unlikely that every type of </t>
        </r>
        <r>
          <rPr>
            <b/>
            <sz val="8"/>
            <color indexed="81"/>
            <rFont val="Arial"/>
            <family val="2"/>
          </rPr>
          <t xml:space="preserve">analysis adjustment </t>
        </r>
        <r>
          <rPr>
            <sz val="8"/>
            <color indexed="81"/>
            <rFont val="Arial"/>
            <family val="2"/>
          </rPr>
          <t xml:space="preserve">listed here will apply to a particular company. </t>
        </r>
      </text>
    </comment>
  </commentList>
</comments>
</file>

<file path=xl/comments2.xml><?xml version="1.0" encoding="utf-8"?>
<comments xmlns="http://schemas.openxmlformats.org/spreadsheetml/2006/main">
  <authors>
    <author>Ronald E. Neufeld</author>
  </authors>
  <commentList>
    <comment ref="A1" authorId="0" shapeId="0">
      <text>
        <r>
          <rPr>
            <sz val="9"/>
            <color indexed="81"/>
            <rFont val="Arial"/>
            <family val="2"/>
          </rPr>
          <t xml:space="preserve">Amounts in </t>
        </r>
        <r>
          <rPr>
            <sz val="9"/>
            <color indexed="32"/>
            <rFont val="Arial"/>
            <family val="2"/>
          </rPr>
          <t>blue font and shading</t>
        </r>
        <r>
          <rPr>
            <sz val="9"/>
            <color indexed="81"/>
            <rFont val="Arial"/>
            <family val="2"/>
          </rPr>
          <t xml:space="preserve"> are illustrative only.  </t>
        </r>
        <r>
          <rPr>
            <b/>
            <sz val="9"/>
            <color indexed="10"/>
            <rFont val="Arial"/>
            <family val="2"/>
          </rPr>
          <t>Input all dollar amounts in MILLIONS, NOT thousands</t>
        </r>
        <r>
          <rPr>
            <sz val="9"/>
            <color indexed="81"/>
            <rFont val="Arial"/>
            <family val="2"/>
          </rPr>
          <t xml:space="preserve">
</t>
        </r>
      </text>
    </comment>
    <comment ref="A2" authorId="0" shapeId="0">
      <text>
        <r>
          <rPr>
            <sz val="8"/>
            <color indexed="81"/>
            <rFont val="Arial"/>
            <family val="2"/>
          </rPr>
          <t xml:space="preserve">As illustrated near the end of the A602 Learning Topic 4 Background Paper, this workbook tab presents a common methodology for reflecting the </t>
        </r>
        <r>
          <rPr>
            <b/>
            <sz val="8"/>
            <color indexed="81"/>
            <rFont val="Arial"/>
            <family val="2"/>
          </rPr>
          <t>analysis adjustments</t>
        </r>
        <r>
          <rPr>
            <sz val="8"/>
            <color indexed="81"/>
            <rFont val="Arial"/>
            <family val="2"/>
          </rPr>
          <t xml:space="preserve"> identified in the BS (and, in the following tab, the IS) of a company so that an analyst may conveniently, accurately, and clearly use </t>
        </r>
        <r>
          <rPr>
            <i/>
            <sz val="8"/>
            <color indexed="81"/>
            <rFont val="Arial"/>
            <family val="2"/>
          </rPr>
          <t>adjusted</t>
        </r>
        <r>
          <rPr>
            <sz val="8"/>
            <color indexed="81"/>
            <rFont val="Arial"/>
            <family val="2"/>
          </rPr>
          <t xml:space="preserve"> financial statement data as the basis for financial ratio analysis; common size analysis; projected FS; and prospective analysis of residual income and fundamental (intrinsic) equity valuation.  As necessary, modify this worksheet tab to accomodate the required </t>
        </r>
        <r>
          <rPr>
            <b/>
            <sz val="8"/>
            <color indexed="81"/>
            <rFont val="Arial"/>
            <family val="2"/>
          </rPr>
          <t>analysis adjustments</t>
        </r>
        <r>
          <rPr>
            <sz val="8"/>
            <color indexed="81"/>
            <rFont val="Arial"/>
            <family val="2"/>
          </rPr>
          <t xml:space="preserve"> for a particular company.  MAKE SURE ALL FORMULAS ARE WORKING AS NEEDED OR INDICATED.</t>
        </r>
      </text>
    </comment>
    <comment ref="K2" authorId="0" shapeId="0">
      <text>
        <r>
          <rPr>
            <sz val="8"/>
            <color indexed="81"/>
            <rFont val="Arial"/>
            <family val="2"/>
          </rPr>
          <t>Adjusted balances are summarized for all 5 FYs at the far right for ease of use by a group for its ratio analysis, etc., in other worksheet tabs.</t>
        </r>
      </text>
    </comment>
    <comment ref="B3" authorId="0" shapeId="0">
      <text>
        <r>
          <rPr>
            <sz val="8"/>
            <color indexed="81"/>
            <rFont val="Arial"/>
            <family val="2"/>
          </rPr>
          <t xml:space="preserve">Even if your group’s company reports amounts in its FS in thousands of dollars, </t>
        </r>
        <r>
          <rPr>
            <b/>
            <sz val="8"/>
            <color indexed="81"/>
            <rFont val="Arial"/>
            <family val="2"/>
          </rPr>
          <t>enter all amounts in million dollars</t>
        </r>
        <r>
          <rPr>
            <sz val="8"/>
            <color indexed="81"/>
            <rFont val="Arial"/>
            <family val="2"/>
          </rPr>
          <t xml:space="preserve"> in this workbook (e.g., $123,456,000.00 becomes $123</t>
        </r>
        <r>
          <rPr>
            <u/>
            <sz val="8"/>
            <color indexed="81"/>
            <rFont val="Arial"/>
            <family val="2"/>
          </rPr>
          <t>.</t>
        </r>
        <r>
          <rPr>
            <sz val="8"/>
            <color indexed="81"/>
            <rFont val="Arial"/>
            <family val="2"/>
          </rPr>
          <t xml:space="preserve">456 in this spreadsheet).  Amounts still display in the workbook as "whole millions," which is fine, but some totals may </t>
        </r>
        <r>
          <rPr>
            <i/>
            <sz val="8"/>
            <color indexed="81"/>
            <rFont val="Arial"/>
            <family val="2"/>
          </rPr>
          <t>appear</t>
        </r>
        <r>
          <rPr>
            <sz val="8"/>
            <color indexed="81"/>
            <rFont val="Arial"/>
            <family val="2"/>
          </rPr>
          <t xml:space="preserve"> not to "add up" (or “foot”) properly, which is acceptable.  So, </t>
        </r>
        <r>
          <rPr>
            <b/>
            <sz val="8"/>
            <color indexed="81"/>
            <rFont val="Arial"/>
            <family val="2"/>
          </rPr>
          <t>do NOT reformat cells to display the decimal place</t>
        </r>
        <r>
          <rPr>
            <sz val="8"/>
            <color indexed="81"/>
            <rFont val="Arial"/>
            <family val="2"/>
          </rPr>
          <t>.  That's would be too distracting, and now widened columns will make many schedules/tables too compressed to fit legibly in the group project report (MS Word template).</t>
        </r>
      </text>
    </comment>
    <comment ref="A8" authorId="0" shapeId="0">
      <text>
        <r>
          <rPr>
            <sz val="8"/>
            <color indexed="81"/>
            <rFont val="Arial"/>
            <family val="2"/>
          </rPr>
          <t>If gross AR and AR allowance are not presented on face of BS, obtain these amounts from footnotes (typically, SOSAP FN).</t>
        </r>
      </text>
    </comment>
    <comment ref="A11" authorId="0" shapeId="0">
      <text>
        <r>
          <rPr>
            <sz val="8"/>
            <color indexed="81"/>
            <rFont val="Arial"/>
            <family val="2"/>
          </rPr>
          <t xml:space="preserve">Modify "Inventories at LOCOM </t>
        </r>
        <r>
          <rPr>
            <sz val="8"/>
            <color indexed="10"/>
            <rFont val="Arial"/>
            <family val="2"/>
          </rPr>
          <t>. . . ?</t>
        </r>
        <r>
          <rPr>
            <sz val="8"/>
            <color indexed="81"/>
            <rFont val="Arial"/>
            <family val="2"/>
          </rPr>
          <t>" to indicate whether company uses FIFO, LIFO, or Average cost-flow assumption (see SOSAP FN and Learning Topic 4 Background Paper).</t>
        </r>
      </text>
    </comment>
    <comment ref="A16" authorId="0" shapeId="0">
      <text>
        <r>
          <rPr>
            <sz val="8"/>
            <color indexed="81"/>
            <rFont val="Arial"/>
            <family val="2"/>
          </rPr>
          <t>If PP&amp;E at cost and accum. deprec. of PP&amp;E are not presented on face of BS, obtain these amounts from the PP&amp;E footnotes (FN).</t>
        </r>
      </text>
    </comment>
    <comment ref="A58" authorId="0" shapeId="0">
      <text>
        <r>
          <rPr>
            <sz val="8"/>
            <color indexed="81"/>
            <rFont val="Arial"/>
            <family val="2"/>
          </rPr>
          <t xml:space="preserve">As necessary, modify these </t>
        </r>
        <r>
          <rPr>
            <b/>
            <sz val="8"/>
            <color indexed="81"/>
            <rFont val="Arial"/>
            <family val="2"/>
          </rPr>
          <t>analysis adjustment</t>
        </r>
        <r>
          <rPr>
            <sz val="8"/>
            <color indexed="81"/>
            <rFont val="Arial"/>
            <family val="2"/>
          </rPr>
          <t xml:space="preserve"> explanations for the particular company analyzed and its particular facts and circumstances.</t>
        </r>
      </text>
    </comment>
  </commentList>
</comments>
</file>

<file path=xl/comments3.xml><?xml version="1.0" encoding="utf-8"?>
<comments xmlns="http://schemas.openxmlformats.org/spreadsheetml/2006/main">
  <authors>
    <author>Ronald E. Neufeld</author>
  </authors>
  <commentList>
    <comment ref="A1" authorId="0" shapeId="0">
      <text>
        <r>
          <rPr>
            <sz val="9"/>
            <color indexed="81"/>
            <rFont val="Arial"/>
            <family val="2"/>
          </rPr>
          <t xml:space="preserve">Amounts in </t>
        </r>
        <r>
          <rPr>
            <sz val="9"/>
            <color indexed="32"/>
            <rFont val="Arial"/>
            <family val="2"/>
          </rPr>
          <t>blue font and shading</t>
        </r>
        <r>
          <rPr>
            <sz val="9"/>
            <color indexed="81"/>
            <rFont val="Arial"/>
            <family val="2"/>
          </rPr>
          <t xml:space="preserve"> are illustrative only.    </t>
        </r>
        <r>
          <rPr>
            <b/>
            <sz val="9"/>
            <color indexed="10"/>
            <rFont val="Arial"/>
            <family val="2"/>
          </rPr>
          <t>Input all dollar amounts in MILLIONS, NOT thousands</t>
        </r>
      </text>
    </comment>
    <comment ref="A2" authorId="0" shapeId="0">
      <text>
        <r>
          <rPr>
            <sz val="8"/>
            <color indexed="81"/>
            <rFont val="Arial"/>
            <family val="2"/>
          </rPr>
          <t>As illustrated near the end of the A602 Learning Topic 4 Background Paper, this workbook tab presents a common methodology for reflecting the analysis adjustments identified in the IS (and, in the preceding tab, the BS) of a company so that an analyst may conveniently, accurately, and clearly use adjusted financial statement data as the basis for financial ratio analysis; common size analysis; projected FS; and prospective analysis of residual income and fundamental (intrinsic) equity valuation. As necessary, modify this worksheet tab to accomodate the required analysis adjustments for a particular company.  MAKE SURE ALL FORMULAS ARE WORKING AS NEEDED OR INDICATED.</t>
        </r>
      </text>
    </comment>
    <comment ref="K2" authorId="0" shapeId="0">
      <text>
        <r>
          <rPr>
            <sz val="8"/>
            <color indexed="81"/>
            <rFont val="Arial"/>
            <family val="2"/>
          </rPr>
          <t xml:space="preserve">Adjusted balances are summarized </t>
        </r>
        <r>
          <rPr>
            <u/>
            <sz val="8"/>
            <color indexed="81"/>
            <rFont val="Arial"/>
            <family val="2"/>
          </rPr>
          <t>for all 5 FYs at the far right</t>
        </r>
        <r>
          <rPr>
            <sz val="8"/>
            <color indexed="81"/>
            <rFont val="Arial"/>
            <family val="2"/>
          </rPr>
          <t xml:space="preserve"> for ease of use by a group for its ratio analysis, etc., in other worksheet tabs.</t>
        </r>
      </text>
    </comment>
    <comment ref="B3" authorId="0" shapeId="0">
      <text>
        <r>
          <rPr>
            <sz val="8"/>
            <color indexed="81"/>
            <rFont val="Arial"/>
            <family val="2"/>
          </rPr>
          <t xml:space="preserve">Even if your group’s company reports amounts in its FS in thousands of dollars, </t>
        </r>
        <r>
          <rPr>
            <b/>
            <sz val="8"/>
            <color indexed="81"/>
            <rFont val="Arial"/>
            <family val="2"/>
          </rPr>
          <t>enter all amounts in million dollars</t>
        </r>
        <r>
          <rPr>
            <sz val="8"/>
            <color indexed="81"/>
            <rFont val="Arial"/>
            <family val="2"/>
          </rPr>
          <t xml:space="preserve"> in this workbook (e.g., $123,456,000.00 becomes $123</t>
        </r>
        <r>
          <rPr>
            <u/>
            <sz val="8"/>
            <color indexed="81"/>
            <rFont val="Arial"/>
            <family val="2"/>
          </rPr>
          <t>.</t>
        </r>
        <r>
          <rPr>
            <sz val="8"/>
            <color indexed="81"/>
            <rFont val="Arial"/>
            <family val="2"/>
          </rPr>
          <t xml:space="preserve">456 in this spreadsheet).  Amounts still display in the workbook as "whole millions," which is fine, but some totals may </t>
        </r>
        <r>
          <rPr>
            <i/>
            <sz val="8"/>
            <color indexed="81"/>
            <rFont val="Arial"/>
            <family val="2"/>
          </rPr>
          <t>appear</t>
        </r>
        <r>
          <rPr>
            <sz val="8"/>
            <color indexed="81"/>
            <rFont val="Arial"/>
            <family val="2"/>
          </rPr>
          <t xml:space="preserve"> not to "add up" (or “foot”) properly, which is acceptable.  So, </t>
        </r>
        <r>
          <rPr>
            <b/>
            <sz val="8"/>
            <color indexed="81"/>
            <rFont val="Arial"/>
            <family val="2"/>
          </rPr>
          <t>do NOT reformat cells to display the decimal place</t>
        </r>
        <r>
          <rPr>
            <sz val="8"/>
            <color indexed="81"/>
            <rFont val="Arial"/>
            <family val="2"/>
          </rPr>
          <t>.  That's would be too distracting, and now widened columns will make many schedules/tables too compressed to fit legibly in the group project report (MS Word template).</t>
        </r>
      </text>
    </comment>
    <comment ref="A9" authorId="0" shapeId="0">
      <text>
        <r>
          <rPr>
            <sz val="8"/>
            <color indexed="32"/>
            <rFont val="Arial"/>
            <family val="2"/>
          </rPr>
          <t>R&amp;D exp. may not be separately presented in IS i(ncome statement), but may be disclosed in a FS footnote, "Supplemental Income Statement Information," or in PART 1, Item 1 "Business" of Form 10-K.</t>
        </r>
      </text>
    </comment>
    <comment ref="A10" authorId="0" shapeId="0">
      <text>
        <r>
          <rPr>
            <sz val="8"/>
            <color indexed="32"/>
            <rFont val="Arial"/>
            <family val="2"/>
          </rPr>
          <t>Advert. exp. may not be separately presented in IS (income statement), but may be disclosed in a FS footnote, "Supplemental Income Statement Information," or in PART 1, Item 1 "Business" of Form 10-K.</t>
        </r>
      </text>
    </comment>
    <comment ref="A11" authorId="0" shapeId="0">
      <text>
        <r>
          <rPr>
            <sz val="8"/>
            <color indexed="32"/>
            <rFont val="Arial"/>
            <family val="2"/>
          </rPr>
          <t xml:space="preserve">D&amp;A (deprec. and amort.) expense is typically </t>
        </r>
        <r>
          <rPr>
            <u/>
            <sz val="8"/>
            <color indexed="32"/>
            <rFont val="Arial"/>
            <family val="2"/>
          </rPr>
          <t>not</t>
        </r>
        <r>
          <rPr>
            <sz val="8"/>
            <color indexed="32"/>
            <rFont val="Arial"/>
            <family val="2"/>
          </rPr>
          <t xml:space="preserve"> separately presented in IS (income statement), but will be set forth in the OCF (operating cash flow) section of the SCF (statement of cash flows)
</t>
        </r>
      </text>
    </comment>
    <comment ref="A30" authorId="0" shapeId="0">
      <text>
        <r>
          <rPr>
            <sz val="8"/>
            <color indexed="81"/>
            <rFont val="Arial"/>
            <family val="2"/>
          </rPr>
          <t xml:space="preserve">For ratios that call for "net income" (e.g., ROCE) use "income from continuing operations (after tax)," instead
</t>
        </r>
      </text>
    </comment>
    <comment ref="A33" authorId="0" shapeId="0">
      <text>
        <r>
          <rPr>
            <sz val="9"/>
            <color indexed="81"/>
            <rFont val="Arial"/>
            <family val="2"/>
          </rPr>
          <t xml:space="preserve">No more extraordinary items: FASB simplifies GAAP (January 13, 2015)
. . .  The board is eliminating the concept of extraordinary items from GAAP.  . . .  to reduce cost and complexity while maintaining the usefulness of the information provided to users of financial statements.
Accounting Standards Update No. 2015-01, Income Statement—Extraordinary and Unusual Items (Subtopic 225-20), Simplifying Income Statement Presentation by Eliminating the Concept of Extraordinary Items, describes the change.  It is the board’s first accounting standards update of 2015.  . . .  It is extremely rare in current practice for a transaction or event to meet the requirements to be presented as an extraordinary item, but preparers nonetheless were spending time and incurring costs to assess whether events or transactions were extraordinary.  . . .
The standard takes effect for fiscal years beginning after Dec. 15, 2015, and interim periods within those fiscal years.  The amendments may be applied retrospectively to all prior periods presented in the financial statements, and early adoption is permitted provided that the guidance is applied from the beginning of the fiscal year of adoption.
</t>
        </r>
      </text>
    </comment>
    <comment ref="A43" authorId="0" shapeId="0">
      <text>
        <r>
          <rPr>
            <sz val="8"/>
            <color indexed="81"/>
            <rFont val="Arial"/>
            <family val="2"/>
          </rPr>
          <t xml:space="preserve">As necessary, modify these </t>
        </r>
        <r>
          <rPr>
            <b/>
            <sz val="8"/>
            <color indexed="81"/>
            <rFont val="Arial"/>
            <family val="2"/>
          </rPr>
          <t>analysis adjustment</t>
        </r>
        <r>
          <rPr>
            <sz val="8"/>
            <color indexed="81"/>
            <rFont val="Arial"/>
            <family val="2"/>
          </rPr>
          <t xml:space="preserve"> explanations for the particular company analyzed and its particular facts and circumstances.</t>
        </r>
      </text>
    </comment>
  </commentList>
</comments>
</file>

<file path=xl/comments4.xml><?xml version="1.0" encoding="utf-8"?>
<comments xmlns="http://schemas.openxmlformats.org/spreadsheetml/2006/main">
  <authors>
    <author>Ronald E. Neufeld</author>
  </authors>
  <commentList>
    <comment ref="A3" authorId="0" shapeId="0">
      <text>
        <r>
          <rPr>
            <sz val="8"/>
            <color indexed="81"/>
            <rFont val="Arial"/>
            <family val="2"/>
          </rPr>
          <t xml:space="preserve">The A602 Learning Topic 2 Background Paper and the MBA F601 Topic 8 Background Paper, </t>
        </r>
        <r>
          <rPr>
            <i/>
            <sz val="8"/>
            <color indexed="81"/>
            <rFont val="Arial"/>
            <family val="2"/>
          </rPr>
          <t>Financial Ratio Analysis</t>
        </r>
        <r>
          <rPr>
            <sz val="8"/>
            <color indexed="81"/>
            <rFont val="Arial"/>
            <family val="2"/>
          </rPr>
          <t xml:space="preserve">, discuss and illustrate common size analysis.  </t>
        </r>
        <r>
          <rPr>
            <u/>
            <sz val="8"/>
            <color indexed="81"/>
            <rFont val="Arial"/>
            <family val="2"/>
          </rPr>
          <t xml:space="preserve">Do NOT modify the formatting in this template </t>
        </r>
        <r>
          <rPr>
            <sz val="8"/>
            <color indexed="81"/>
            <rFont val="Arial"/>
            <family val="2"/>
          </rPr>
          <t>(to ensure a professional-looking presentation).  Use care not to unintentionally overwrite  formulas in this worksheet tab.  Paste picture images of these schedules in Section 8 of the report.</t>
        </r>
      </text>
    </comment>
    <comment ref="A8" authorId="0" shapeId="0">
      <text>
        <r>
          <rPr>
            <b/>
            <sz val="9"/>
            <color indexed="81"/>
            <rFont val="Arial"/>
            <family val="2"/>
          </rPr>
          <t>Input all dollar amounts in MILLIONS, NOT thousands</t>
        </r>
      </text>
    </comment>
    <comment ref="I8" authorId="0" shapeId="0">
      <text>
        <r>
          <rPr>
            <u/>
            <sz val="8"/>
            <color indexed="10"/>
            <rFont val="Arial"/>
            <family val="2"/>
          </rPr>
          <t>BEFORE</t>
        </r>
        <r>
          <rPr>
            <sz val="8"/>
            <color indexed="10"/>
            <rFont val="Arial"/>
            <family val="2"/>
          </rPr>
          <t xml:space="preserve"> copying-and-pasting picture images of the </t>
        </r>
        <r>
          <rPr>
            <b/>
            <sz val="8"/>
            <color indexed="10"/>
            <rFont val="Arial"/>
            <family val="2"/>
          </rPr>
          <t>common-sized BS and IS</t>
        </r>
        <r>
          <rPr>
            <sz val="8"/>
            <color indexed="10"/>
            <rFont val="Arial"/>
            <family val="2"/>
          </rPr>
          <t xml:space="preserve"> into Section 8 of final report (1) HIDE Columns B - G and this comment AND (2) set WIDTH of Column I to </t>
        </r>
        <r>
          <rPr>
            <b/>
            <sz val="8"/>
            <color indexed="10"/>
            <rFont val="Arial"/>
            <family val="2"/>
          </rPr>
          <t>0.1</t>
        </r>
      </text>
    </comment>
    <comment ref="B9" authorId="0" shapeId="0">
      <text>
        <r>
          <rPr>
            <u/>
            <sz val="8"/>
            <color indexed="81"/>
            <rFont val="Arial"/>
            <family val="2"/>
          </rPr>
          <t>Sixth</t>
        </r>
        <r>
          <rPr>
            <sz val="8"/>
            <color indexed="81"/>
            <rFont val="Arial"/>
            <family val="2"/>
          </rPr>
          <t xml:space="preserve"> prior FY FS information used principally to compute </t>
        </r>
        <r>
          <rPr>
            <i/>
            <sz val="8"/>
            <color indexed="81"/>
            <rFont val="Arial"/>
            <family val="2"/>
          </rPr>
          <t>average</t>
        </r>
        <r>
          <rPr>
            <sz val="8"/>
            <color indexed="81"/>
            <rFont val="Arial"/>
            <family val="2"/>
          </rPr>
          <t xml:space="preserve"> balances in </t>
        </r>
        <r>
          <rPr>
            <u/>
            <sz val="8"/>
            <color indexed="81"/>
            <rFont val="Arial"/>
            <family val="2"/>
          </rPr>
          <t>fifth</t>
        </r>
        <r>
          <rPr>
            <sz val="8"/>
            <color indexed="81"/>
            <rFont val="Arial"/>
            <family val="2"/>
          </rPr>
          <t xml:space="preserve"> prior FY.  </t>
        </r>
        <r>
          <rPr>
            <sz val="8"/>
            <color indexed="10"/>
            <rFont val="Arial"/>
            <family val="2"/>
          </rPr>
          <t xml:space="preserve">Hide thie comment and set  this column's WIDTH to </t>
        </r>
        <r>
          <rPr>
            <b/>
            <sz val="8"/>
            <color indexed="10"/>
            <rFont val="Arial"/>
            <family val="2"/>
          </rPr>
          <t>0.1</t>
        </r>
        <r>
          <rPr>
            <sz val="8"/>
            <color indexed="10"/>
            <rFont val="Arial"/>
            <family val="2"/>
          </rPr>
          <t xml:space="preserve"> BEFORE copying-and-pasting picture images of the FS (BS, IS, and SCF) into Section 8 of the final report.</t>
        </r>
      </text>
    </comment>
    <comment ref="O12" authorId="0" shapeId="0">
      <text>
        <r>
          <rPr>
            <sz val="8"/>
            <color indexed="81"/>
            <rFont val="Arial"/>
            <family val="2"/>
          </rPr>
          <t xml:space="preserve">Comment here on the changes in the </t>
        </r>
        <r>
          <rPr>
            <sz val="8"/>
            <color indexed="32"/>
            <rFont val="Arial"/>
            <family val="2"/>
          </rPr>
          <t>relative mix of current assets and of total current assets (as a percent of total assets)</t>
        </r>
        <r>
          <rPr>
            <sz val="8"/>
            <color indexed="81"/>
            <rFont val="Arial"/>
            <family val="2"/>
          </rPr>
          <t xml:space="preserve">, emphasizing </t>
        </r>
        <r>
          <rPr>
            <i/>
            <sz val="8"/>
            <color indexed="81"/>
            <rFont val="Arial"/>
            <family val="2"/>
          </rPr>
          <t xml:space="preserve">(i) </t>
        </r>
        <r>
          <rPr>
            <sz val="8"/>
            <color indexed="81"/>
            <rFont val="Arial"/>
            <family val="2"/>
          </rPr>
          <t xml:space="preserve">their likely business or financial </t>
        </r>
        <r>
          <rPr>
            <u/>
            <sz val="8"/>
            <color indexed="81"/>
            <rFont val="Arial"/>
            <family val="2"/>
          </rPr>
          <t>implications</t>
        </r>
        <r>
          <rPr>
            <sz val="8"/>
            <color indexed="81"/>
            <rFont val="Arial"/>
            <family val="2"/>
          </rPr>
          <t xml:space="preserve"> and</t>
        </r>
        <r>
          <rPr>
            <i/>
            <sz val="8"/>
            <color indexed="81"/>
            <rFont val="Arial"/>
            <family val="2"/>
          </rPr>
          <t xml:space="preserve"> (ii) </t>
        </r>
        <r>
          <rPr>
            <sz val="8"/>
            <color indexed="81"/>
            <rFont val="Arial"/>
            <family val="2"/>
          </rPr>
          <t xml:space="preserve">the </t>
        </r>
        <r>
          <rPr>
            <u/>
            <sz val="8"/>
            <color indexed="81"/>
            <rFont val="Arial"/>
            <family val="2"/>
          </rPr>
          <t>relationship</t>
        </r>
        <r>
          <rPr>
            <sz val="8"/>
            <color indexed="81"/>
            <rFont val="Arial"/>
            <family val="2"/>
          </rPr>
          <t xml:space="preserve"> of these changes to changes in other common size information included in this workbook tab.  
</t>
        </r>
        <r>
          <rPr>
            <b/>
            <sz val="8"/>
            <color indexed="81"/>
            <rFont val="Arial"/>
            <family val="2"/>
          </rPr>
          <t xml:space="preserve">
</t>
        </r>
        <r>
          <rPr>
            <sz val="8"/>
            <color indexed="81"/>
            <rFont val="Arial"/>
            <family val="2"/>
          </rPr>
          <t>– Write in clear and complete sentences (subject, verb, punctuation, etc).
– Spell-check your comments.  
– Comments must fit within the space provided, without widening columns, increasing row heights, or other format changes.
Scroll to the bottom of the worksheet to view the assignment gra</t>
        </r>
        <r>
          <rPr>
            <b/>
            <sz val="8"/>
            <color indexed="81"/>
            <rFont val="Arial"/>
            <family val="2"/>
          </rPr>
          <t>ding rubric</t>
        </r>
        <r>
          <rPr>
            <sz val="8"/>
            <color indexed="81"/>
            <rFont val="Arial"/>
            <family val="2"/>
          </rPr>
          <t>.</t>
        </r>
      </text>
    </comment>
    <comment ref="O22" authorId="0" shapeId="0">
      <text>
        <r>
          <rPr>
            <sz val="8"/>
            <color indexed="81"/>
            <rFont val="Arial"/>
            <family val="2"/>
          </rPr>
          <t xml:space="preserve">Comment here on the changes in the relative mix of </t>
        </r>
        <r>
          <rPr>
            <sz val="8"/>
            <color indexed="32"/>
            <rFont val="Arial"/>
            <family val="2"/>
          </rPr>
          <t>long-lived and other noncurrent assets</t>
        </r>
        <r>
          <rPr>
            <sz val="8"/>
            <color indexed="81"/>
            <rFont val="Arial"/>
            <family val="2"/>
          </rPr>
          <t xml:space="preserve"> (as a percent of total assets), emphasizing </t>
        </r>
        <r>
          <rPr>
            <i/>
            <sz val="8"/>
            <color indexed="81"/>
            <rFont val="Arial"/>
            <family val="2"/>
          </rPr>
          <t xml:space="preserve">(i) </t>
        </r>
        <r>
          <rPr>
            <sz val="8"/>
            <color indexed="81"/>
            <rFont val="Arial"/>
            <family val="2"/>
          </rPr>
          <t xml:space="preserve">their likely business or financial </t>
        </r>
        <r>
          <rPr>
            <u/>
            <sz val="8"/>
            <color indexed="81"/>
            <rFont val="Arial"/>
            <family val="2"/>
          </rPr>
          <t>implications</t>
        </r>
        <r>
          <rPr>
            <sz val="8"/>
            <color indexed="81"/>
            <rFont val="Arial"/>
            <family val="2"/>
          </rPr>
          <t xml:space="preserve"> and </t>
        </r>
        <r>
          <rPr>
            <i/>
            <sz val="8"/>
            <color indexed="81"/>
            <rFont val="Arial"/>
            <family val="2"/>
          </rPr>
          <t xml:space="preserve">(ii) </t>
        </r>
        <r>
          <rPr>
            <sz val="8"/>
            <color indexed="81"/>
            <rFont val="Arial"/>
            <family val="2"/>
          </rPr>
          <t xml:space="preserve">the </t>
        </r>
        <r>
          <rPr>
            <u/>
            <sz val="8"/>
            <color indexed="81"/>
            <rFont val="Arial"/>
            <family val="2"/>
          </rPr>
          <t>relationship</t>
        </r>
        <r>
          <rPr>
            <sz val="8"/>
            <color indexed="81"/>
            <rFont val="Arial"/>
            <family val="2"/>
          </rPr>
          <t xml:space="preserve"> of these changes to changes in other common size information included in this workbook tab.  
– Write in clear and complete sentences (subject, verb, punctuation, etc).
– Spell-check your comments.  
– Comments must fit within the space provided, without widening columns, increasing row heights, or other format changes.</t>
        </r>
      </text>
    </comment>
    <comment ref="O36" authorId="0" shapeId="0">
      <text>
        <r>
          <rPr>
            <sz val="8"/>
            <color indexed="81"/>
            <rFont val="Arial"/>
            <family val="2"/>
          </rPr>
          <t xml:space="preserve">Comment here on the changes in the relative mix of </t>
        </r>
        <r>
          <rPr>
            <sz val="8"/>
            <color indexed="32"/>
            <rFont val="Arial"/>
            <family val="2"/>
          </rPr>
          <t>current liabilities and of total current liabilities</t>
        </r>
        <r>
          <rPr>
            <sz val="8"/>
            <color indexed="81"/>
            <rFont val="Arial"/>
            <family val="2"/>
          </rPr>
          <t xml:space="preserve"> (as a percent of total liabilities and stockholders' equity), emphasizing </t>
        </r>
        <r>
          <rPr>
            <i/>
            <sz val="8"/>
            <color indexed="81"/>
            <rFont val="Arial"/>
            <family val="2"/>
          </rPr>
          <t xml:space="preserve">(i) </t>
        </r>
        <r>
          <rPr>
            <sz val="8"/>
            <color indexed="81"/>
            <rFont val="Arial"/>
            <family val="2"/>
          </rPr>
          <t xml:space="preserve">their likely business or financial </t>
        </r>
        <r>
          <rPr>
            <u/>
            <sz val="8"/>
            <color indexed="81"/>
            <rFont val="Arial"/>
            <family val="2"/>
          </rPr>
          <t>implications</t>
        </r>
        <r>
          <rPr>
            <sz val="8"/>
            <color indexed="81"/>
            <rFont val="Arial"/>
            <family val="2"/>
          </rPr>
          <t xml:space="preserve"> and </t>
        </r>
        <r>
          <rPr>
            <i/>
            <sz val="8"/>
            <color indexed="81"/>
            <rFont val="Arial"/>
            <family val="2"/>
          </rPr>
          <t xml:space="preserve">(ii) </t>
        </r>
        <r>
          <rPr>
            <sz val="8"/>
            <color indexed="81"/>
            <rFont val="Arial"/>
            <family val="2"/>
          </rPr>
          <t xml:space="preserve">the </t>
        </r>
        <r>
          <rPr>
            <u/>
            <sz val="8"/>
            <color indexed="81"/>
            <rFont val="Arial"/>
            <family val="2"/>
          </rPr>
          <t>relationship</t>
        </r>
        <r>
          <rPr>
            <sz val="8"/>
            <color indexed="81"/>
            <rFont val="Arial"/>
            <family val="2"/>
          </rPr>
          <t xml:space="preserve"> of these changes to changes in other common size information included in this workbook tab.  
– Write in clear and complete sentences (subject, verb, punctuation, etc).
– Spell-check your comments.  
– Comments must fit within the space provided, without widening columns, increasing row heights, or other format changes.</t>
        </r>
      </text>
    </comment>
    <comment ref="O45" authorId="0" shapeId="0">
      <text>
        <r>
          <rPr>
            <sz val="8"/>
            <color indexed="81"/>
            <rFont val="Arial"/>
            <family val="2"/>
          </rPr>
          <t xml:space="preserve">Comment here on the changes in the relative mix of </t>
        </r>
        <r>
          <rPr>
            <sz val="8"/>
            <color indexed="32"/>
            <rFont val="Arial"/>
            <family val="2"/>
          </rPr>
          <t>L-T debt and other noncurrent liabilities</t>
        </r>
        <r>
          <rPr>
            <sz val="8"/>
            <color indexed="81"/>
            <rFont val="Arial"/>
            <family val="2"/>
          </rPr>
          <t xml:space="preserve"> (as a percent of total liabilities and stockholders' equity), emphasizing </t>
        </r>
        <r>
          <rPr>
            <i/>
            <sz val="8"/>
            <color indexed="81"/>
            <rFont val="Arial"/>
            <family val="2"/>
          </rPr>
          <t xml:space="preserve">(i) </t>
        </r>
        <r>
          <rPr>
            <sz val="8"/>
            <color indexed="81"/>
            <rFont val="Arial"/>
            <family val="2"/>
          </rPr>
          <t xml:space="preserve">their likely business or financial </t>
        </r>
        <r>
          <rPr>
            <u/>
            <sz val="8"/>
            <color indexed="81"/>
            <rFont val="Arial"/>
            <family val="2"/>
          </rPr>
          <t>implications</t>
        </r>
        <r>
          <rPr>
            <sz val="8"/>
            <color indexed="81"/>
            <rFont val="Arial"/>
            <family val="2"/>
          </rPr>
          <t xml:space="preserve"> and </t>
        </r>
        <r>
          <rPr>
            <i/>
            <sz val="8"/>
            <color indexed="81"/>
            <rFont val="Arial"/>
            <family val="2"/>
          </rPr>
          <t>(ii)</t>
        </r>
        <r>
          <rPr>
            <sz val="8"/>
            <color indexed="81"/>
            <rFont val="Arial"/>
            <family val="2"/>
          </rPr>
          <t xml:space="preserve"> the </t>
        </r>
        <r>
          <rPr>
            <u/>
            <sz val="8"/>
            <color indexed="81"/>
            <rFont val="Arial"/>
            <family val="2"/>
          </rPr>
          <t>relationship</t>
        </r>
        <r>
          <rPr>
            <sz val="8"/>
            <color indexed="81"/>
            <rFont val="Arial"/>
            <family val="2"/>
          </rPr>
          <t xml:space="preserve"> of these changes to changes in other common size information included in this workbook tab.  
– Write in clear and complete sentences (subject, verb, punctuation, etc).
– Spell-check your comments.  
– Comments must fit within the space provided, without widening columns, increasing row heights, or other format changes.</t>
        </r>
      </text>
    </comment>
    <comment ref="O54" authorId="0" shapeId="0">
      <text>
        <r>
          <rPr>
            <sz val="8"/>
            <color indexed="81"/>
            <rFont val="Arial"/>
            <family val="2"/>
          </rPr>
          <t xml:space="preserve">Comment here on the changes in the </t>
        </r>
        <r>
          <rPr>
            <sz val="8"/>
            <color indexed="32"/>
            <rFont val="Arial"/>
            <family val="2"/>
          </rPr>
          <t>relative mix of current assets and of total current assets (as a percent of total assets)</t>
        </r>
        <r>
          <rPr>
            <sz val="8"/>
            <color indexed="81"/>
            <rFont val="Arial"/>
            <family val="2"/>
          </rPr>
          <t xml:space="preserve">, emphasizing </t>
        </r>
        <r>
          <rPr>
            <i/>
            <sz val="8"/>
            <color indexed="81"/>
            <rFont val="Arial"/>
            <family val="2"/>
          </rPr>
          <t xml:space="preserve">(i) </t>
        </r>
        <r>
          <rPr>
            <sz val="8"/>
            <color indexed="81"/>
            <rFont val="Arial"/>
            <family val="2"/>
          </rPr>
          <t xml:space="preserve">their likely business or financial </t>
        </r>
        <r>
          <rPr>
            <u/>
            <sz val="8"/>
            <color indexed="81"/>
            <rFont val="Arial"/>
            <family val="2"/>
          </rPr>
          <t>implications</t>
        </r>
        <r>
          <rPr>
            <sz val="8"/>
            <color indexed="81"/>
            <rFont val="Arial"/>
            <family val="2"/>
          </rPr>
          <t xml:space="preserve"> and</t>
        </r>
        <r>
          <rPr>
            <i/>
            <sz val="8"/>
            <color indexed="81"/>
            <rFont val="Arial"/>
            <family val="2"/>
          </rPr>
          <t xml:space="preserve"> (ii) </t>
        </r>
        <r>
          <rPr>
            <sz val="8"/>
            <color indexed="81"/>
            <rFont val="Arial"/>
            <family val="2"/>
          </rPr>
          <t xml:space="preserve">the </t>
        </r>
        <r>
          <rPr>
            <u/>
            <sz val="8"/>
            <color indexed="81"/>
            <rFont val="Arial"/>
            <family val="2"/>
          </rPr>
          <t>relationship</t>
        </r>
        <r>
          <rPr>
            <sz val="8"/>
            <color indexed="81"/>
            <rFont val="Arial"/>
            <family val="2"/>
          </rPr>
          <t xml:space="preserve"> of these changes to changes in other common size information included in this workbook tab.  
</t>
        </r>
        <r>
          <rPr>
            <b/>
            <sz val="8"/>
            <color indexed="81"/>
            <rFont val="Arial"/>
            <family val="2"/>
          </rPr>
          <t xml:space="preserve">
</t>
        </r>
        <r>
          <rPr>
            <sz val="8"/>
            <color indexed="81"/>
            <rFont val="Arial"/>
            <family val="2"/>
          </rPr>
          <t>– Write in clear and complete sentences (subject, verb, punctuation, etc).
– Spell-check your comments.  
– Comments must fit within the space provided, without widening columns, increasing row heights, or other format changes.
Scroll to the bottom of the worksheet to view the assignment gra</t>
        </r>
        <r>
          <rPr>
            <b/>
            <sz val="8"/>
            <color indexed="81"/>
            <rFont val="Arial"/>
            <family val="2"/>
          </rPr>
          <t>ding rubric</t>
        </r>
        <r>
          <rPr>
            <sz val="8"/>
            <color indexed="81"/>
            <rFont val="Arial"/>
            <family val="2"/>
          </rPr>
          <t>.</t>
        </r>
      </text>
    </comment>
    <comment ref="O71" authorId="0" shapeId="0">
      <text>
        <r>
          <rPr>
            <sz val="8"/>
            <color indexed="81"/>
            <rFont val="Arial"/>
            <family val="2"/>
          </rPr>
          <t xml:space="preserve">Comment here on the </t>
        </r>
        <r>
          <rPr>
            <i/>
            <sz val="8"/>
            <color indexed="81"/>
            <rFont val="Arial"/>
            <family val="2"/>
          </rPr>
          <t>trend</t>
        </r>
        <r>
          <rPr>
            <sz val="8"/>
            <color indexed="81"/>
            <rFont val="Arial"/>
            <family val="2"/>
          </rPr>
          <t xml:space="preserve"> of the company's </t>
        </r>
        <r>
          <rPr>
            <sz val="8"/>
            <color indexed="32"/>
            <rFont val="Arial"/>
            <family val="2"/>
          </rPr>
          <t>operating income</t>
        </r>
        <r>
          <rPr>
            <sz val="8"/>
            <color indexed="81"/>
            <rFont val="Arial"/>
            <family val="2"/>
          </rPr>
          <t xml:space="preserve"> (as a percent of sales), emphasizing </t>
        </r>
        <r>
          <rPr>
            <i/>
            <sz val="8"/>
            <color indexed="81"/>
            <rFont val="Arial"/>
            <family val="2"/>
          </rPr>
          <t>(i)</t>
        </r>
        <r>
          <rPr>
            <sz val="8"/>
            <color indexed="81"/>
            <rFont val="Arial"/>
            <family val="2"/>
          </rPr>
          <t xml:space="preserve">its likely business or financial </t>
        </r>
        <r>
          <rPr>
            <u/>
            <sz val="8"/>
            <color indexed="81"/>
            <rFont val="Arial"/>
            <family val="2"/>
          </rPr>
          <t>implications</t>
        </r>
        <r>
          <rPr>
            <sz val="8"/>
            <color indexed="81"/>
            <rFont val="Arial"/>
            <family val="2"/>
          </rPr>
          <t xml:space="preserve"> and </t>
        </r>
        <r>
          <rPr>
            <i/>
            <sz val="8"/>
            <color indexed="81"/>
            <rFont val="Arial"/>
            <family val="2"/>
          </rPr>
          <t>(ii)</t>
        </r>
        <r>
          <rPr>
            <sz val="8"/>
            <color indexed="81"/>
            <rFont val="Arial"/>
            <family val="2"/>
          </rPr>
          <t xml:space="preserve"> the </t>
        </r>
        <r>
          <rPr>
            <u/>
            <sz val="8"/>
            <color indexed="81"/>
            <rFont val="Arial"/>
            <family val="2"/>
          </rPr>
          <t>relationship</t>
        </r>
        <r>
          <rPr>
            <sz val="8"/>
            <color indexed="81"/>
            <rFont val="Arial"/>
            <family val="2"/>
          </rPr>
          <t xml:space="preserve"> of this trend to trends in the company' </t>
        </r>
        <r>
          <rPr>
            <sz val="8"/>
            <color indexed="32"/>
            <rFont val="Arial"/>
            <family val="2"/>
          </rPr>
          <t>gross profit and operating expenses</t>
        </r>
        <r>
          <rPr>
            <sz val="8"/>
            <color indexed="81"/>
            <rFont val="Arial"/>
            <family val="2"/>
          </rPr>
          <t xml:space="preserve"> (as a percent of sales).  
– Write in clear and complete sentences (subject, verb, punctuation, etc).
– Spell-check your comments.  
– Comments must fit within the space provided, without widening columns, increasing row heights, or other format changes.</t>
        </r>
        <r>
          <rPr>
            <sz val="9"/>
            <color indexed="81"/>
            <rFont val="Tahoma"/>
            <family val="2"/>
          </rPr>
          <t xml:space="preserve">
</t>
        </r>
      </text>
    </comment>
    <comment ref="A97" authorId="0" shapeId="0">
      <text>
        <r>
          <rPr>
            <sz val="8"/>
            <color indexed="81"/>
            <rFont val="Arial"/>
            <family val="2"/>
          </rPr>
          <t>For ratios that call for "net income" (e.g., ROCE) use "income from continuing operations (after tax)," instead</t>
        </r>
      </text>
    </comment>
    <comment ref="A100" authorId="0" shapeId="0">
      <text>
        <r>
          <rPr>
            <sz val="8"/>
            <color indexed="81"/>
            <rFont val="Arial"/>
            <family val="2"/>
          </rPr>
          <t xml:space="preserve">Analysts do </t>
        </r>
        <r>
          <rPr>
            <b/>
            <u/>
            <sz val="8"/>
            <color indexed="81"/>
            <rFont val="Arial"/>
            <family val="2"/>
          </rPr>
          <t>not</t>
        </r>
        <r>
          <rPr>
            <sz val="8"/>
            <color indexed="81"/>
            <rFont val="Arial"/>
            <family val="2"/>
          </rPr>
          <t xml:space="preserve"> typically perform </t>
        </r>
        <r>
          <rPr>
            <i/>
            <sz val="8"/>
            <color indexed="81"/>
            <rFont val="Arial"/>
            <family val="2"/>
          </rPr>
          <t>common size analysis</t>
        </r>
        <r>
          <rPr>
            <sz val="8"/>
            <color indexed="81"/>
            <rFont val="Arial"/>
            <family val="2"/>
          </rPr>
          <t xml:space="preserve"> of </t>
        </r>
        <r>
          <rPr>
            <b/>
            <sz val="8"/>
            <color indexed="81"/>
            <rFont val="Arial"/>
            <family val="2"/>
          </rPr>
          <t>cash flow statements</t>
        </r>
        <r>
          <rPr>
            <sz val="8"/>
            <color indexed="81"/>
            <rFont val="Arial"/>
            <family val="2"/>
          </rPr>
          <t xml:space="preserve"> (SCFs) because such analyses are not particularly useful.
</t>
        </r>
        <r>
          <rPr>
            <sz val="8"/>
            <color indexed="10"/>
            <rFont val="Arial"/>
            <family val="2"/>
          </rPr>
          <t xml:space="preserve">Prepare SCF schedule here using the Company's FS, as presented in its Forms 10-K, </t>
        </r>
        <r>
          <rPr>
            <u/>
            <sz val="8"/>
            <color indexed="10"/>
            <rFont val="Arial"/>
            <family val="2"/>
          </rPr>
          <t>WITHOUT MAKING ANY</t>
        </r>
        <r>
          <rPr>
            <sz val="8"/>
            <color indexed="10"/>
            <rFont val="Arial"/>
            <family val="2"/>
          </rPr>
          <t xml:space="preserve"> </t>
        </r>
        <r>
          <rPr>
            <b/>
            <sz val="8"/>
            <color indexed="10"/>
            <rFont val="Arial"/>
            <family val="2"/>
          </rPr>
          <t>analysis adjustments</t>
        </r>
        <r>
          <rPr>
            <sz val="8"/>
            <color indexed="10"/>
            <rFont val="Arial"/>
            <family val="2"/>
          </rPr>
          <t>.</t>
        </r>
      </text>
    </comment>
    <comment ref="A116" authorId="0" shapeId="0">
      <text>
        <r>
          <rPr>
            <sz val="8"/>
            <color indexed="81"/>
            <rFont val="Arial"/>
            <family val="2"/>
          </rPr>
          <t xml:space="preserve">Labels and amounts in </t>
        </r>
        <r>
          <rPr>
            <b/>
            <sz val="8"/>
            <color indexed="32"/>
            <rFont val="Arial"/>
            <family val="2"/>
          </rPr>
          <t xml:space="preserve">blue shaded cells </t>
        </r>
        <r>
          <rPr>
            <sz val="8"/>
            <color indexed="81"/>
            <rFont val="Arial"/>
            <family val="2"/>
          </rPr>
          <t xml:space="preserve">are illustrative only.  Modify these cells to reflect the company's SCF.  Add rows if necessary; delete any unused rows.  </t>
        </r>
        <r>
          <rPr>
            <sz val="8"/>
            <color indexed="10"/>
            <rFont val="Arial"/>
            <family val="2"/>
          </rPr>
          <t>(Hide this comment before copying-and-pasting an "image" of this worksheet into the final report.)</t>
        </r>
      </text>
    </comment>
  </commentList>
</comments>
</file>

<file path=xl/comments5.xml><?xml version="1.0" encoding="utf-8"?>
<comments xmlns="http://schemas.openxmlformats.org/spreadsheetml/2006/main">
  <authors>
    <author>Ronald E. Neufeld</author>
  </authors>
  <commentList>
    <comment ref="A7" authorId="0" shapeId="0">
      <text>
        <r>
          <rPr>
            <sz val="8"/>
            <color indexed="81"/>
            <rFont val="Arial"/>
            <family val="2"/>
          </rPr>
          <t xml:space="preserve">The A602 Learning Topic 2 Background Paper and the MBA F601 Topic 8 Background Paper, </t>
        </r>
        <r>
          <rPr>
            <i/>
            <sz val="8"/>
            <color indexed="81"/>
            <rFont val="Arial"/>
            <family val="2"/>
          </rPr>
          <t>Financial Ratio Analysis</t>
        </r>
        <r>
          <rPr>
            <sz val="8"/>
            <color indexed="81"/>
            <rFont val="Arial"/>
            <family val="2"/>
          </rPr>
          <t xml:space="preserve">, define and describe financial ratios. </t>
        </r>
        <r>
          <rPr>
            <u/>
            <sz val="8"/>
            <color indexed="81"/>
            <rFont val="Arial"/>
            <family val="2"/>
          </rPr>
          <t>Do NOT modify the formatting in this template</t>
        </r>
        <r>
          <rPr>
            <sz val="8"/>
            <color indexed="81"/>
            <rFont val="Arial"/>
            <family val="2"/>
          </rPr>
          <t xml:space="preserve"> (to ensure a professional-looking presentation).  Use care not to unintentionally overwrite  formulas in this worksheet tab.  Paste picture images of these schedules in Section 8 of the report.</t>
        </r>
      </text>
    </comment>
    <comment ref="K9" authorId="0" shapeId="0">
      <text>
        <r>
          <rPr>
            <sz val="8"/>
            <color indexed="81"/>
            <rFont val="Arial"/>
            <family val="2"/>
          </rPr>
          <t xml:space="preserve">For each ratio, </t>
        </r>
        <r>
          <rPr>
            <b/>
            <sz val="8"/>
            <color indexed="81"/>
            <rFont val="Arial"/>
            <family val="2"/>
          </rPr>
          <t>comment</t>
        </r>
        <r>
          <rPr>
            <sz val="8"/>
            <color indexed="81"/>
            <rFont val="Arial"/>
            <family val="2"/>
          </rPr>
          <t xml:space="preserve">  in this column on the (1) </t>
        </r>
        <r>
          <rPr>
            <i/>
            <sz val="8"/>
            <color indexed="81"/>
            <rFont val="Arial"/>
            <family val="2"/>
          </rPr>
          <t>trend</t>
        </r>
        <r>
          <rPr>
            <sz val="8"/>
            <color indexed="81"/>
            <rFont val="Arial"/>
            <family val="2"/>
          </rPr>
          <t xml:space="preserve"> and (2) </t>
        </r>
        <r>
          <rPr>
            <i/>
            <sz val="8"/>
            <color indexed="81"/>
            <rFont val="Arial"/>
            <family val="2"/>
          </rPr>
          <t>comparison</t>
        </r>
        <r>
          <rPr>
            <sz val="8"/>
            <color indexed="81"/>
            <rFont val="Arial"/>
            <family val="2"/>
          </rPr>
          <t xml:space="preserve"> with the key competitor and industry average ratios, </t>
        </r>
        <r>
          <rPr>
            <b/>
            <sz val="8"/>
            <color indexed="81"/>
            <rFont val="Arial"/>
            <family val="2"/>
          </rPr>
          <t>emphasizing</t>
        </r>
        <r>
          <rPr>
            <sz val="8"/>
            <color indexed="81"/>
            <rFont val="Arial"/>
            <family val="2"/>
          </rPr>
          <t xml:space="preserve"> </t>
        </r>
        <r>
          <rPr>
            <i/>
            <sz val="8"/>
            <color indexed="81"/>
            <rFont val="Arial"/>
            <family val="2"/>
          </rPr>
          <t>(i)</t>
        </r>
        <r>
          <rPr>
            <sz val="8"/>
            <color indexed="81"/>
            <rFont val="Arial"/>
            <family val="2"/>
          </rPr>
          <t xml:space="preserve"> its likely business or financial </t>
        </r>
        <r>
          <rPr>
            <u/>
            <sz val="8"/>
            <color indexed="81"/>
            <rFont val="Arial"/>
            <family val="2"/>
          </rPr>
          <t>implications</t>
        </r>
        <r>
          <rPr>
            <sz val="8"/>
            <color indexed="81"/>
            <rFont val="Arial"/>
            <family val="2"/>
          </rPr>
          <t xml:space="preserve"> and </t>
        </r>
        <r>
          <rPr>
            <i/>
            <sz val="8"/>
            <color indexed="81"/>
            <rFont val="Arial"/>
            <family val="2"/>
          </rPr>
          <t>(ii)</t>
        </r>
        <r>
          <rPr>
            <sz val="8"/>
            <color indexed="81"/>
            <rFont val="Arial"/>
            <family val="2"/>
          </rPr>
          <t xml:space="preserve"> the </t>
        </r>
        <r>
          <rPr>
            <u/>
            <sz val="8"/>
            <color indexed="81"/>
            <rFont val="Arial"/>
            <family val="2"/>
          </rPr>
          <t>relationship</t>
        </r>
        <r>
          <rPr>
            <sz val="8"/>
            <color indexed="81"/>
            <rFont val="Arial"/>
            <family val="2"/>
          </rPr>
          <t xml:space="preserve"> of the trends </t>
        </r>
        <r>
          <rPr>
            <i/>
            <sz val="8"/>
            <color indexed="81"/>
            <rFont val="Arial"/>
            <family val="2"/>
          </rPr>
          <t>to</t>
        </r>
        <r>
          <rPr>
            <sz val="8"/>
            <color indexed="81"/>
            <rFont val="Arial"/>
            <family val="2"/>
          </rPr>
          <t xml:space="preserve"> trends in </t>
        </r>
        <r>
          <rPr>
            <i/>
            <sz val="8"/>
            <color indexed="81"/>
            <rFont val="Arial"/>
            <family val="2"/>
          </rPr>
          <t>other</t>
        </r>
        <r>
          <rPr>
            <sz val="8"/>
            <color indexed="81"/>
            <rFont val="Arial"/>
            <family val="2"/>
          </rPr>
          <t xml:space="preserve"> ratios included in this workbook tab.  
Do </t>
        </r>
        <r>
          <rPr>
            <b/>
            <u/>
            <sz val="8"/>
            <color indexed="81"/>
            <rFont val="Arial"/>
            <family val="2"/>
          </rPr>
          <t>not</t>
        </r>
        <r>
          <rPr>
            <sz val="8"/>
            <color indexed="81"/>
            <rFont val="Arial"/>
            <family val="2"/>
          </rPr>
          <t xml:space="preserve"> define the ratios (e.g., "this ratio indicates whether the company is able to pay its S-T obligations as they become due").
Do </t>
        </r>
        <r>
          <rPr>
            <b/>
            <u/>
            <sz val="8"/>
            <color indexed="81"/>
            <rFont val="Arial"/>
            <family val="2"/>
          </rPr>
          <t>not</t>
        </r>
        <r>
          <rPr>
            <sz val="8"/>
            <color indexed="81"/>
            <rFont val="Arial"/>
            <family val="2"/>
          </rPr>
          <t xml:space="preserve"> </t>
        </r>
        <r>
          <rPr>
            <i/>
            <sz val="8"/>
            <color indexed="81"/>
            <rFont val="Arial"/>
            <family val="2"/>
          </rPr>
          <t>only</t>
        </r>
        <r>
          <rPr>
            <sz val="8"/>
            <color indexed="81"/>
            <rFont val="Arial"/>
            <family val="2"/>
          </rPr>
          <t xml:space="preserve"> "state the obvious" (e.g., "the ratio's trend is favorable" or "the company's ratio compare's unfavorably to the industry average ratio").
– </t>
        </r>
        <r>
          <rPr>
            <b/>
            <sz val="8"/>
            <color indexed="81"/>
            <rFont val="Arial"/>
            <family val="2"/>
          </rPr>
          <t>Write in clear and complete sentences (subject, verb, punctuation, etc).
– Spell-check your comments.  
– Comments must fit within the space provided, without widening columns, increasing row heights, or other format changes</t>
        </r>
        <r>
          <rPr>
            <sz val="8"/>
            <color indexed="81"/>
            <rFont val="Arial"/>
            <family val="2"/>
          </rPr>
          <t xml:space="preserve">.
</t>
        </r>
        <r>
          <rPr>
            <u/>
            <sz val="8"/>
            <color indexed="81"/>
            <rFont val="Arial"/>
            <family val="2"/>
          </rPr>
          <t>All cells in this workbook tab are already properly formatted for correct and professional-looking display of ratios and FS amounts</t>
        </r>
        <r>
          <rPr>
            <sz val="8"/>
            <color indexed="81"/>
            <rFont val="Arial"/>
            <family val="2"/>
          </rPr>
          <t xml:space="preserve">.
Scroll to the bottom of the worksheet to view the assignment </t>
        </r>
        <r>
          <rPr>
            <b/>
            <sz val="8"/>
            <color indexed="81"/>
            <rFont val="Arial"/>
            <family val="2"/>
          </rPr>
          <t>grading rubric</t>
        </r>
        <r>
          <rPr>
            <sz val="8"/>
            <color indexed="81"/>
            <rFont val="Arial"/>
            <family val="2"/>
          </rPr>
          <t>.</t>
        </r>
      </text>
    </comment>
    <comment ref="A10" authorId="0" shapeId="0">
      <text>
        <r>
          <rPr>
            <b/>
            <sz val="9"/>
            <color indexed="81"/>
            <rFont val="Arial"/>
            <family val="2"/>
          </rPr>
          <t>Input all dollar amounts in MILLIONS, NOT thousands</t>
        </r>
      </text>
    </comment>
    <comment ref="B10" authorId="0" shapeId="0">
      <text>
        <r>
          <rPr>
            <u/>
            <sz val="8"/>
            <color indexed="81"/>
            <rFont val="Arial"/>
            <family val="2"/>
          </rPr>
          <t>Sixth</t>
        </r>
        <r>
          <rPr>
            <sz val="8"/>
            <color indexed="81"/>
            <rFont val="Arial"/>
            <family val="2"/>
          </rPr>
          <t xml:space="preserve"> prior-year data is included only to permit computation of </t>
        </r>
        <r>
          <rPr>
            <u/>
            <sz val="8"/>
            <color indexed="81"/>
            <rFont val="Arial"/>
            <family val="2"/>
          </rPr>
          <t>fifth</t>
        </r>
        <r>
          <rPr>
            <sz val="8"/>
            <color indexed="81"/>
            <rFont val="Arial"/>
            <family val="2"/>
          </rPr>
          <t xml:space="preserve"> prior-year financial ratios that use balance sheet </t>
        </r>
        <r>
          <rPr>
            <u/>
            <sz val="8"/>
            <color indexed="81"/>
            <rFont val="Arial"/>
            <family val="2"/>
          </rPr>
          <t>averages</t>
        </r>
        <r>
          <rPr>
            <sz val="8"/>
            <color indexed="81"/>
            <rFont val="Arial"/>
            <family val="2"/>
          </rPr>
          <t xml:space="preserve">.  </t>
        </r>
        <r>
          <rPr>
            <sz val="8"/>
            <color indexed="10"/>
            <rFont val="Arial"/>
            <family val="2"/>
          </rPr>
          <t xml:space="preserve">Hide this comment and set  this column's WIDTH to </t>
        </r>
        <r>
          <rPr>
            <b/>
            <sz val="8"/>
            <color indexed="10"/>
            <rFont val="Arial"/>
            <family val="2"/>
          </rPr>
          <t>0.1</t>
        </r>
        <r>
          <rPr>
            <sz val="8"/>
            <color indexed="10"/>
            <rFont val="Arial"/>
            <family val="2"/>
          </rPr>
          <t xml:space="preserve"> BEFORE copying-and-pasting picture images of financial ratios into Section 8 of the final report.</t>
        </r>
      </text>
    </comment>
    <comment ref="L20" authorId="0" shapeId="0">
      <text>
        <r>
          <rPr>
            <sz val="8"/>
            <color indexed="81"/>
            <rFont val="Arial"/>
            <family val="2"/>
          </rPr>
          <t>Mergent does NOT provide firms' average AR collection periods.  Compute this ratio using appropriate FS amounts included in the firms' Forms 10-K.  If your industry group comprises FIVE firms (in addition to the company), copy the formulas in the "Firm 4" column rightward into the "Firm 5" column; if your industry group comprises SIX firms (in addition to the company), copy the formulas in the "Firm 4" column rightward into the "Firm 5" and "Firm 6" columns.  Then, input appropriate FS amounts for each industry firm (from its most recent Form 10-K) into the blue-shaded cells, needed to compute the firms' ratios and the ratios in the "Industry average ratios" column to the left.</t>
        </r>
      </text>
    </comment>
    <comment ref="P21" authorId="0" shapeId="0">
      <text>
        <r>
          <rPr>
            <sz val="9"/>
            <color indexed="81"/>
            <rFont val="Arial"/>
            <family val="2"/>
          </rPr>
          <t xml:space="preserve">Amounts in </t>
        </r>
        <r>
          <rPr>
            <sz val="9"/>
            <color indexed="32"/>
            <rFont val="Arial"/>
            <family val="2"/>
          </rPr>
          <t>blue shaded cells</t>
        </r>
        <r>
          <rPr>
            <sz val="9"/>
            <color indexed="81"/>
            <rFont val="Arial"/>
            <family val="2"/>
          </rPr>
          <t xml:space="preserve"> are illustrative only</t>
        </r>
      </text>
    </comment>
    <comment ref="L30" authorId="0" shapeId="0">
      <text>
        <r>
          <rPr>
            <sz val="8"/>
            <color indexed="81"/>
            <rFont val="Arial"/>
            <family val="2"/>
          </rPr>
          <t>Mergent does NOT provide firms' average AP payment periods.  Compute this ratio using appropriate FS amounts included in the firms' Forms 10-K.  If your industry group comprises FIVE firms (in addition to the company), copy the formulas in the "Firm 4" column rightward into the "Firm 5" column; if your industry group comprises SIX firms (in addition to the company), copy the formulas in the "Firm 4" column rightward into the "Firm 5" and "Firm 6" columns.  Then, input appropriate FS amounts for each industry firm (from its most recent Form 10-K) into the blue-shaded cells, needed to compute the firms' ratios and the ratios in the "Industry average ratios" column to the left.</t>
        </r>
      </text>
    </comment>
    <comment ref="P31" authorId="0" shapeId="0">
      <text>
        <r>
          <rPr>
            <sz val="9"/>
            <color indexed="81"/>
            <rFont val="Arial"/>
            <family val="2"/>
          </rPr>
          <t xml:space="preserve">Amounts in </t>
        </r>
        <r>
          <rPr>
            <sz val="9"/>
            <color indexed="32"/>
            <rFont val="Arial"/>
            <family val="2"/>
          </rPr>
          <t>blue shaded cells</t>
        </r>
        <r>
          <rPr>
            <sz val="9"/>
            <color indexed="81"/>
            <rFont val="Arial"/>
            <family val="2"/>
          </rPr>
          <t xml:space="preserve"> are illustrative only</t>
        </r>
      </text>
    </comment>
    <comment ref="A35" authorId="0" shapeId="0">
      <text>
        <r>
          <rPr>
            <sz val="8"/>
            <color indexed="81"/>
            <rFont val="Arial"/>
            <family val="2"/>
          </rPr>
          <t xml:space="preserve">Include these non-cash charges in computation of "cash costs" ONLY IF included in COS or total operating expenses, </t>
        </r>
        <r>
          <rPr>
            <u/>
            <sz val="8"/>
            <color indexed="81"/>
            <rFont val="Arial"/>
            <family val="2"/>
          </rPr>
          <t>rather than</t>
        </r>
        <r>
          <rPr>
            <sz val="8"/>
            <color indexed="81"/>
            <rFont val="Arial"/>
            <family val="2"/>
          </rPr>
          <t xml:space="preserve"> reported separately in "other income (expense)"</t>
        </r>
      </text>
    </comment>
    <comment ref="L55" authorId="0" shapeId="0">
      <text>
        <r>
          <rPr>
            <sz val="8"/>
            <color indexed="81"/>
            <rFont val="Arial"/>
            <family val="2"/>
          </rPr>
          <t>Mergent does NOT provide firms' OCF-to-L-T debt ratios.  Compute this ratio using appropriate FS amounts included in the firms' Forms 10-K.  If your industry group comprises FIVE firms (in addition to the company), copy the formulas in the "Firm 4" column rightward into the "Firm 5" column; if your industry group comprises SIX firms (in addition to the company), copy the formulas in the "Firm 4" column rightward into the "Firm 5" and "Firm 6" columns.  Then, input appropriate FS amounts for each industry firm (from its most recent Form 10-K) into the blue-shaded cells, needed to compute the firms' ratios and the ratios in the "Industry average ratios" column to the left.</t>
        </r>
      </text>
    </comment>
    <comment ref="P56" authorId="0" shapeId="0">
      <text>
        <r>
          <rPr>
            <sz val="8"/>
            <color indexed="81"/>
            <rFont val="Arial"/>
            <family val="2"/>
          </rPr>
          <t xml:space="preserve">Amounts in </t>
        </r>
        <r>
          <rPr>
            <sz val="8"/>
            <color indexed="32"/>
            <rFont val="Arial"/>
            <family val="2"/>
          </rPr>
          <t>blue shaded cells</t>
        </r>
        <r>
          <rPr>
            <sz val="8"/>
            <color indexed="81"/>
            <rFont val="Arial"/>
            <family val="2"/>
          </rPr>
          <t xml:space="preserve"> are illustrative only</t>
        </r>
      </text>
    </comment>
    <comment ref="A71" authorId="0" shapeId="0">
      <text>
        <r>
          <rPr>
            <sz val="8"/>
            <color indexed="32"/>
            <rFont val="Arial"/>
            <family val="2"/>
          </rPr>
          <t>Amounts in blue shaded cells are illustrative only</t>
        </r>
        <r>
          <rPr>
            <sz val="8"/>
            <color indexed="81"/>
            <rFont val="Arial"/>
            <family val="2"/>
          </rPr>
          <t xml:space="preserve">.  Obtain amounts of dividends on preferred stock, if any, from company's statements of changes in stockholders' equity, included in its Annual Reports on Form 10-K.    </t>
        </r>
        <r>
          <rPr>
            <sz val="8"/>
            <color indexed="10"/>
            <rFont val="Arial"/>
            <family val="2"/>
          </rPr>
          <t>(Hide this comment before copying-and-pasting an "image" of this worksheet into final report.)</t>
        </r>
      </text>
    </comment>
    <comment ref="L90" authorId="0" shapeId="0">
      <text>
        <r>
          <rPr>
            <sz val="8"/>
            <color indexed="81"/>
            <rFont val="Arial"/>
            <family val="2"/>
          </rPr>
          <t>Mergent does NOT provide firms' other oper exp-to-sales ratios.  Compute this ratio using appropriate FS amounts included in the firms' Forms 10-K.  If your industry group comprises FIVE firms (in addition to the company), copy the formulas in the "Firm 4" column rightward into the "Firm 5" column; if your industry group comprises SIX firms (in addition to the company), copy the formulas in the "Firm 4" column rightward into the "Firm 5" and "Firm 6" columns.  Then, input appropriate FS amounts for each industry firm (from its most recent Form 10-K) into the blue-shaded cells, needed to compute the firms' ratios and the ratios in the "Industry average ratios" column to the left.</t>
        </r>
      </text>
    </comment>
    <comment ref="P91" authorId="0" shapeId="0">
      <text>
        <r>
          <rPr>
            <sz val="8"/>
            <color indexed="81"/>
            <rFont val="Arial"/>
            <family val="2"/>
          </rPr>
          <t xml:space="preserve">Amounts in </t>
        </r>
        <r>
          <rPr>
            <sz val="8"/>
            <color indexed="32"/>
            <rFont val="Arial"/>
            <family val="2"/>
          </rPr>
          <t>blue shaded cells</t>
        </r>
        <r>
          <rPr>
            <sz val="8"/>
            <color indexed="81"/>
            <rFont val="Arial"/>
            <family val="2"/>
          </rPr>
          <t xml:space="preserve"> are illustrative only</t>
        </r>
      </text>
    </comment>
    <comment ref="J105" authorId="0" shapeId="0">
      <text>
        <r>
          <rPr>
            <sz val="8"/>
            <color indexed="81"/>
            <rFont val="Arial"/>
            <family val="2"/>
          </rPr>
          <t>Key Competitor and industry average AR turnover ratios are computed as 360 / Average collection period (days), above.</t>
        </r>
      </text>
    </comment>
    <comment ref="J113" authorId="0" shapeId="0">
      <text>
        <r>
          <rPr>
            <sz val="8"/>
            <color indexed="81"/>
            <rFont val="Arial"/>
            <family val="2"/>
          </rPr>
          <t xml:space="preserve">Key Competitor and industry average AR turnover ratios are computed as 360 / Average days purch in AP, accr'd liab (days), above.
</t>
        </r>
      </text>
    </comment>
    <comment ref="A129" authorId="0" shapeId="0">
      <text>
        <r>
          <rPr>
            <sz val="8"/>
            <color indexed="81"/>
            <rFont val="Arial"/>
            <family val="2"/>
          </rPr>
          <t xml:space="preserve">For the 4 earliest (oldest) reported FYs of your group's company, use the closing price of its common stock on last day of the respective FYs (or next trading day, if the BS date fell on a day when the market was closed).  Obtain the company's closing stock prices, using its stock symbol, at </t>
        </r>
        <r>
          <rPr>
            <b/>
            <sz val="8"/>
            <color indexed="32"/>
            <rFont val="Arial"/>
            <family val="2"/>
          </rPr>
          <t>finance.yahoo.com</t>
        </r>
        <r>
          <rPr>
            <sz val="8"/>
            <color indexed="81"/>
            <rFont val="Arial"/>
            <family val="2"/>
          </rPr>
          <t xml:space="preserve"> (on search results page, select "Historical prices" link under "QUOTES" heading on left side of search results page.  </t>
        </r>
        <r>
          <rPr>
            <sz val="8"/>
            <color indexed="10"/>
            <rFont val="Arial"/>
            <family val="2"/>
          </rPr>
          <t>(Hide this comment before copying-and-pasting an "image" of this worksheet into final report.)</t>
        </r>
      </text>
    </comment>
    <comment ref="I129" authorId="0" shapeId="0">
      <text>
        <r>
          <rPr>
            <sz val="8"/>
            <color indexed="81"/>
            <rFont val="Arial"/>
            <family val="2"/>
          </rPr>
          <t xml:space="preserve">For the </t>
        </r>
        <r>
          <rPr>
            <u/>
            <sz val="8"/>
            <color indexed="81"/>
            <rFont val="Arial"/>
            <family val="2"/>
          </rPr>
          <t>LAST</t>
        </r>
        <r>
          <rPr>
            <sz val="8"/>
            <color indexed="81"/>
            <rFont val="Arial"/>
            <family val="2"/>
          </rPr>
          <t xml:space="preserve"> (most recent) reported FY of your group's company, and for the Key Competitor and each of the other industry firms, use the </t>
        </r>
        <r>
          <rPr>
            <u/>
            <sz val="8"/>
            <color indexed="81"/>
            <rFont val="Arial"/>
            <family val="2"/>
          </rPr>
          <t>average</t>
        </r>
        <r>
          <rPr>
            <sz val="8"/>
            <color indexed="81"/>
            <rFont val="Arial"/>
            <family val="2"/>
          </rPr>
          <t xml:space="preserve"> closing price of such firm's stock during the week (5 trading days) </t>
        </r>
        <r>
          <rPr>
            <u/>
            <sz val="8"/>
            <color indexed="81"/>
            <rFont val="Arial"/>
            <family val="2"/>
          </rPr>
          <t>following</t>
        </r>
        <r>
          <rPr>
            <sz val="8"/>
            <color indexed="81"/>
            <rFont val="Arial"/>
            <family val="2"/>
          </rPr>
          <t xml:space="preserve"> release by </t>
        </r>
        <r>
          <rPr>
            <u/>
            <sz val="8"/>
            <color indexed="81"/>
            <rFont val="Arial"/>
            <family val="2"/>
          </rPr>
          <t>YOUR</t>
        </r>
        <r>
          <rPr>
            <sz val="8"/>
            <color indexed="81"/>
            <rFont val="Arial"/>
            <family val="2"/>
          </rPr>
          <t xml:space="preserve"> GROUP's company of 4Q earnings for its last reported FY.  Obtain </t>
        </r>
        <r>
          <rPr>
            <b/>
            <sz val="8"/>
            <color indexed="81"/>
            <rFont val="Arial"/>
            <family val="2"/>
          </rPr>
          <t>closing stock prices</t>
        </r>
        <r>
          <rPr>
            <sz val="8"/>
            <color indexed="81"/>
            <rFont val="Arial"/>
            <family val="2"/>
          </rPr>
          <t xml:space="preserve"> using the firm's stock symbol, at </t>
        </r>
        <r>
          <rPr>
            <b/>
            <sz val="8"/>
            <color indexed="32"/>
            <rFont val="Arial"/>
            <family val="2"/>
          </rPr>
          <t>finance.yahoo.com</t>
        </r>
        <r>
          <rPr>
            <sz val="8"/>
            <color indexed="81"/>
            <rFont val="Arial"/>
            <family val="2"/>
          </rPr>
          <t xml:space="preserve"> (on search results page, select "Historical prices" link under "QUOTES" heading on left side of the page; at the "historical prices" page, set the appropriate date range.  Compute the average of the five resulting closing prices "by hand").  
One way to determine the date on which your group's company released its 4Q earnings is to retrieve the Form 8-K Current Report (filed by the Company with the SEC for this purpose) at the “investors” (or similar) tab of the company’s website.  The company will have filed the Form 8-K soon after (usually, the same day) that it otherwise announced its “4Q” earnings.  </t>
        </r>
        <r>
          <rPr>
            <sz val="8"/>
            <color indexed="10"/>
            <rFont val="Arial"/>
            <family val="2"/>
          </rPr>
          <t>(Hide this comment before copying-and-pasting an "image" of this worksheet into the final report.)</t>
        </r>
        <r>
          <rPr>
            <sz val="8"/>
            <color indexed="18"/>
            <rFont val="Arial"/>
            <family val="2"/>
          </rPr>
          <t xml:space="preserve">
To illustrate, if a company's FYE is December 31 (2013) and a Form 8-K, obtained from the company's website, filed on Monday, January 20, 2014, announced its 4Q13 earnings, use the average of the company's closing prices on the five business days, January 20 through (Friday) January 24.  Let's say its closing prices on those days were $20, $22, $21, $20, and $19, respectively.  Then, use their average, $20.40 in this worksheet.  Use the average of the closing prices on these same days of the Key Competitor and the other firms comprising your company's industry group to compute comparable ratios of these other firms.</t>
        </r>
      </text>
    </comment>
    <comment ref="Q129" authorId="0" shapeId="0">
      <text>
        <r>
          <rPr>
            <sz val="8"/>
            <color indexed="81"/>
            <rFont val="Arial"/>
            <family val="2"/>
          </rPr>
          <t xml:space="preserve">Amounts in </t>
        </r>
        <r>
          <rPr>
            <sz val="8"/>
            <color indexed="32"/>
            <rFont val="Arial"/>
            <family val="2"/>
          </rPr>
          <t>blue shaded cells</t>
        </r>
        <r>
          <rPr>
            <sz val="8"/>
            <color indexed="81"/>
            <rFont val="Arial"/>
            <family val="2"/>
          </rPr>
          <t xml:space="preserve"> are illustrative only</t>
        </r>
      </text>
    </comment>
    <comment ref="A133" authorId="0" shapeId="0">
      <text>
        <r>
          <rPr>
            <sz val="8"/>
            <color indexed="81"/>
            <rFont val="Arial"/>
            <family val="2"/>
          </rPr>
          <t xml:space="preserve">Companies disclose the </t>
        </r>
        <r>
          <rPr>
            <b/>
            <sz val="8"/>
            <color indexed="81"/>
            <rFont val="Arial Narrow"/>
            <family val="2"/>
          </rPr>
          <t>diluted weighted average number of shares</t>
        </r>
        <r>
          <rPr>
            <sz val="8"/>
            <color indexed="81"/>
            <rFont val="Arial"/>
            <family val="2"/>
          </rPr>
          <t xml:space="preserve"> used to compute diluted EPS in the IS or an "EPS" footnote.   </t>
        </r>
        <r>
          <rPr>
            <sz val="8"/>
            <color indexed="10"/>
            <rFont val="Arial"/>
            <family val="2"/>
          </rPr>
          <t>(Hide this comment before copying-and-pasting an "image" of this worksheet into the final report.)</t>
        </r>
      </text>
    </comment>
    <comment ref="L134" authorId="0" shapeId="0">
      <text>
        <r>
          <rPr>
            <sz val="8"/>
            <color indexed="81"/>
            <rFont val="Arial"/>
            <family val="2"/>
          </rPr>
          <t xml:space="preserve">For the Key Competitor and each of the other industry firms, obtain </t>
        </r>
        <r>
          <rPr>
            <b/>
            <sz val="8"/>
            <color indexed="81"/>
            <rFont val="Arial"/>
            <family val="2"/>
          </rPr>
          <t>DILUTED EPS</t>
        </r>
        <r>
          <rPr>
            <sz val="8"/>
            <color indexed="81"/>
            <rFont val="Arial"/>
            <family val="2"/>
          </rPr>
          <t xml:space="preserve"> from the firm's LAST income statement included in its most recent Annual Report on Form 10-K.  </t>
        </r>
        <r>
          <rPr>
            <b/>
            <sz val="8"/>
            <color indexed="81"/>
            <rFont val="Arial"/>
            <family val="2"/>
          </rPr>
          <t>Locate firms</t>
        </r>
        <r>
          <rPr>
            <sz val="8"/>
            <color indexed="81"/>
            <rFont val="Arial"/>
            <family val="2"/>
          </rPr>
          <t xml:space="preserve">' </t>
        </r>
        <r>
          <rPr>
            <b/>
            <sz val="8"/>
            <color indexed="81"/>
            <rFont val="Arial"/>
            <family val="2"/>
          </rPr>
          <t>Forms 10</t>
        </r>
        <r>
          <rPr>
            <sz val="8"/>
            <color indexed="81"/>
            <rFont val="Arial"/>
            <family val="2"/>
          </rPr>
          <t>-</t>
        </r>
        <r>
          <rPr>
            <b/>
            <sz val="8"/>
            <color indexed="81"/>
            <rFont val="Arial"/>
            <family val="2"/>
          </rPr>
          <t xml:space="preserve">K by visiting the </t>
        </r>
        <r>
          <rPr>
            <sz val="8"/>
            <color indexed="81"/>
            <rFont val="Arial"/>
            <family val="2"/>
          </rPr>
          <t>"</t>
        </r>
        <r>
          <rPr>
            <b/>
            <sz val="8"/>
            <color indexed="81"/>
            <rFont val="Arial"/>
            <family val="2"/>
          </rPr>
          <t>investors</t>
        </r>
        <r>
          <rPr>
            <sz val="8"/>
            <color indexed="81"/>
            <rFont val="Arial"/>
            <family val="2"/>
          </rPr>
          <t>"</t>
        </r>
        <r>
          <rPr>
            <b/>
            <sz val="8"/>
            <color indexed="81"/>
            <rFont val="Arial"/>
            <family val="2"/>
          </rPr>
          <t xml:space="preserve"> page of their respective websites</t>
        </r>
        <r>
          <rPr>
            <sz val="8"/>
            <color indexed="81"/>
            <rFont val="Arial"/>
            <family val="2"/>
          </rPr>
          <t>.</t>
        </r>
      </text>
    </comment>
    <comment ref="I136" authorId="0" shapeId="0">
      <text>
        <r>
          <rPr>
            <sz val="8"/>
            <color indexed="81"/>
            <rFont val="Arial"/>
            <family val="2"/>
          </rPr>
          <t xml:space="preserve">For your group's company, Key Competitor, and each of the other industry firms, obtain </t>
        </r>
        <r>
          <rPr>
            <b/>
            <sz val="8"/>
            <color indexed="81"/>
            <rFont val="Arial"/>
            <family val="2"/>
          </rPr>
          <t>dividends declared per common share</t>
        </r>
        <r>
          <rPr>
            <sz val="8"/>
            <color indexed="81"/>
            <rFont val="Arial"/>
            <family val="2"/>
          </rPr>
          <t xml:space="preserve"> from the respective firms' last Annual Reports on Form 10-K, in </t>
        </r>
        <r>
          <rPr>
            <b/>
            <sz val="8"/>
            <color indexed="81"/>
            <rFont val="Arial"/>
            <family val="2"/>
          </rPr>
          <t>Item 6</t>
        </r>
        <r>
          <rPr>
            <sz val="8"/>
            <color indexed="81"/>
            <rFont val="Arial"/>
            <family val="2"/>
          </rPr>
          <t>, "</t>
        </r>
        <r>
          <rPr>
            <b/>
            <sz val="8"/>
            <color indexed="81"/>
            <rFont val="Arial"/>
            <family val="2"/>
          </rPr>
          <t>Selected Financial Data</t>
        </r>
        <r>
          <rPr>
            <sz val="8"/>
            <color indexed="81"/>
            <rFont val="Arial"/>
            <family val="2"/>
          </rPr>
          <t xml:space="preserve">," which typically presents such information for its last 5-to-10 FYs.   </t>
        </r>
        <r>
          <rPr>
            <sz val="8"/>
            <color indexed="10"/>
            <rFont val="Arial"/>
            <family val="2"/>
          </rPr>
          <t>(Hide this comment before copying-and-pasting an "image" of this worksheet into the final report.)</t>
        </r>
      </text>
    </comment>
    <comment ref="I139" authorId="0" shapeId="0">
      <text>
        <r>
          <rPr>
            <sz val="8"/>
            <color indexed="81"/>
            <rFont val="Arial"/>
            <family val="2"/>
          </rPr>
          <t xml:space="preserve">For the Key Competitor and each of the other industry firms, compute </t>
        </r>
        <r>
          <rPr>
            <b/>
            <sz val="8"/>
            <color indexed="81"/>
            <rFont val="Arial"/>
            <family val="2"/>
          </rPr>
          <t>total COMMON stockholders' equity</t>
        </r>
        <r>
          <rPr>
            <sz val="8"/>
            <color indexed="81"/>
            <rFont val="Arial"/>
            <family val="2"/>
          </rPr>
          <t xml:space="preserve"> (</t>
        </r>
        <r>
          <rPr>
            <b/>
            <sz val="8"/>
            <color indexed="81"/>
            <rFont val="Arial"/>
            <family val="2"/>
          </rPr>
          <t>CE</t>
        </r>
        <r>
          <rPr>
            <sz val="8"/>
            <color indexed="81"/>
            <rFont val="Arial"/>
            <family val="2"/>
          </rPr>
          <t xml:space="preserve">) as: "total stockholders' equity" (reported in the firm's last FYE BS, included in its most recent Annual Report on Form 10-K) </t>
        </r>
        <r>
          <rPr>
            <u/>
            <sz val="8"/>
            <color indexed="81"/>
            <rFont val="Arial"/>
            <family val="2"/>
          </rPr>
          <t>LESS</t>
        </r>
        <r>
          <rPr>
            <sz val="8"/>
            <color indexed="81"/>
            <rFont val="Arial"/>
            <family val="2"/>
          </rPr>
          <t xml:space="preserve"> any "preferred stock" balance reported in that BS.  </t>
        </r>
        <r>
          <rPr>
            <sz val="8"/>
            <color indexed="10"/>
            <rFont val="Arial"/>
            <family val="2"/>
          </rPr>
          <t>(Hide this comment before copying-and-pasting an "image" of this worksheet into the final report.)</t>
        </r>
      </text>
    </comment>
    <comment ref="L140" authorId="0" shapeId="0">
      <text>
        <r>
          <rPr>
            <sz val="8"/>
            <color indexed="81"/>
            <rFont val="Arial"/>
            <family val="2"/>
          </rPr>
          <t xml:space="preserve">For the Key Competitor and each of the other industry firms, obtain the </t>
        </r>
        <r>
          <rPr>
            <b/>
            <sz val="8"/>
            <color indexed="81"/>
            <rFont val="Arial"/>
            <family val="2"/>
          </rPr>
          <t xml:space="preserve">number </t>
        </r>
        <r>
          <rPr>
            <sz val="8"/>
            <color indexed="81"/>
            <rFont val="Arial"/>
            <family val="2"/>
          </rPr>
          <t>(</t>
        </r>
        <r>
          <rPr>
            <b/>
            <sz val="8"/>
            <color indexed="81"/>
            <rFont val="Arial"/>
            <family val="2"/>
          </rPr>
          <t>in millions</t>
        </r>
        <r>
          <rPr>
            <sz val="8"/>
            <color indexed="81"/>
            <rFont val="Arial"/>
            <family val="2"/>
          </rPr>
          <t>)</t>
        </r>
        <r>
          <rPr>
            <b/>
            <sz val="8"/>
            <color indexed="81"/>
            <rFont val="Arial"/>
            <family val="2"/>
          </rPr>
          <t xml:space="preserve"> of issued</t>
        </r>
        <r>
          <rPr>
            <sz val="8"/>
            <color indexed="81"/>
            <rFont val="Arial"/>
            <family val="2"/>
          </rPr>
          <t>-</t>
        </r>
        <r>
          <rPr>
            <b/>
            <u/>
            <sz val="8"/>
            <color indexed="81"/>
            <rFont val="Arial"/>
            <family val="2"/>
          </rPr>
          <t>and</t>
        </r>
        <r>
          <rPr>
            <sz val="8"/>
            <color indexed="81"/>
            <rFont val="Arial"/>
            <family val="2"/>
          </rPr>
          <t>-</t>
        </r>
        <r>
          <rPr>
            <b/>
            <sz val="8"/>
            <color indexed="81"/>
            <rFont val="Arial"/>
            <family val="2"/>
          </rPr>
          <t>outstanding shares of common stock</t>
        </r>
        <r>
          <rPr>
            <sz val="8"/>
            <color indexed="81"/>
            <rFont val="Arial"/>
            <family val="2"/>
          </rPr>
          <t xml:space="preserve"> at FYE from the stockholders' equity section of the firm's last BS, </t>
        </r>
        <r>
          <rPr>
            <u/>
            <sz val="8"/>
            <color indexed="81"/>
            <rFont val="Arial"/>
            <family val="2"/>
          </rPr>
          <t>NET</t>
        </r>
        <r>
          <rPr>
            <sz val="8"/>
            <color indexed="81"/>
            <rFont val="Arial"/>
            <family val="2"/>
          </rPr>
          <t xml:space="preserve"> of any treasury shares, as disclosed in the firm's last Annual Report on Form 10-K.</t>
        </r>
      </text>
    </comment>
  </commentList>
</comments>
</file>

<file path=xl/comments6.xml><?xml version="1.0" encoding="utf-8"?>
<comments xmlns="http://schemas.openxmlformats.org/spreadsheetml/2006/main">
  <authors>
    <author>Ronald E. Neufeld</author>
  </authors>
  <commentList>
    <comment ref="A2" authorId="0" shapeId="0">
      <text>
        <r>
          <rPr>
            <sz val="8"/>
            <color indexed="81"/>
            <rFont val="Arial"/>
            <family val="2"/>
          </rPr>
          <t xml:space="preserve">The A602 Learning Topic 2 Background Paper discusses NAICS codes and the process of obtaining companies' financial ratios using </t>
        </r>
        <r>
          <rPr>
            <b/>
            <sz val="8"/>
            <color indexed="32"/>
            <rFont val="Arial Narrow"/>
            <family val="2"/>
          </rPr>
          <t>Mergent Online</t>
        </r>
        <r>
          <rPr>
            <sz val="8"/>
            <color indexed="81"/>
            <rFont val="Arial"/>
            <family val="2"/>
          </rPr>
          <t xml:space="preserve"> via the university's online library</t>
        </r>
      </text>
    </comment>
    <comment ref="E5" authorId="0" shapeId="0">
      <text>
        <r>
          <rPr>
            <sz val="8"/>
            <color indexed="81"/>
            <rFont val="Arial"/>
            <family val="2"/>
          </rPr>
          <t>Average days to sell inventory ratio computed as 360 DIVIDE inventory turnover ratio, at right</t>
        </r>
      </text>
    </comment>
    <comment ref="B6" authorId="0" shapeId="0">
      <text>
        <r>
          <rPr>
            <sz val="8"/>
            <color indexed="81"/>
            <rFont val="Arial"/>
            <family val="2"/>
          </rPr>
          <t xml:space="preserve">Amounts in </t>
        </r>
        <r>
          <rPr>
            <sz val="8"/>
            <color indexed="32"/>
            <rFont val="Arial"/>
            <family val="2"/>
          </rPr>
          <t>blue shaded cells</t>
        </r>
        <r>
          <rPr>
            <sz val="8"/>
            <color indexed="81"/>
            <rFont val="Arial"/>
            <family val="2"/>
          </rPr>
          <t xml:space="preserve"> are illustrative only</t>
        </r>
      </text>
    </comment>
    <comment ref="A13" authorId="0" shapeId="0">
      <text>
        <r>
          <rPr>
            <b/>
            <sz val="8"/>
            <color indexed="81"/>
            <rFont val="Arial"/>
            <family val="2"/>
          </rPr>
          <t xml:space="preserve">Use care not to unintentionally overwrite  formulas in this worksheet tab.
</t>
        </r>
        <r>
          <rPr>
            <b/>
            <sz val="8"/>
            <color indexed="10"/>
            <rFont val="Arial"/>
            <family val="2"/>
          </rPr>
          <t xml:space="preserve">
</t>
        </r>
        <r>
          <rPr>
            <b/>
            <u/>
            <sz val="8"/>
            <color indexed="10"/>
            <rFont val="Arial"/>
            <family val="2"/>
          </rPr>
          <t>IMPORTANT</t>
        </r>
        <r>
          <rPr>
            <b/>
            <sz val="8"/>
            <color indexed="10"/>
            <rFont val="Arial"/>
            <family val="2"/>
          </rPr>
          <t xml:space="preserve">!  ENTER THE RATIO VALUES INTO THIS WORKSHEET MANUALLY FROM THE SEPARATE MS EXCEL SPREADSHEET CREATED BY YOUR MERGENT ONLINE  SEARCH, </t>
        </r>
        <r>
          <rPr>
            <b/>
            <u/>
            <sz val="8"/>
            <color indexed="10"/>
            <rFont val="Arial"/>
            <family val="2"/>
          </rPr>
          <t>IN ORDER TO AVOID CORRUPTING THE FORMULAS IN OTHER TABS IN THIS WORKBOOK THAT USE THIS INFORMATION</t>
        </r>
      </text>
    </comment>
  </commentList>
</comments>
</file>

<file path=xl/comments7.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financial statements related to the </t>
        </r>
        <r>
          <rPr>
            <b/>
            <sz val="8"/>
            <color indexed="81"/>
            <rFont val="Arial"/>
            <family val="2"/>
          </rPr>
          <t>operating lease commitments</t>
        </r>
        <r>
          <rPr>
            <sz val="8"/>
            <color indexed="81"/>
            <rFont val="Arial"/>
            <family val="2"/>
          </rPr>
          <t>.  Use care not to unintentionally overwrite formulas in this worksheet tab.</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should be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t>
        </r>
      </text>
    </comment>
    <comment ref="J11" authorId="0" shapeId="0">
      <text>
        <r>
          <rPr>
            <sz val="8"/>
            <color indexed="81"/>
            <rFont val="Arial"/>
            <family val="2"/>
          </rPr>
          <t xml:space="preserve">The A602 Learning Topic 4 Background Paper discusses the how analysts estimate a company's incremental borrowing rate
</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subsequent FYs, similar analyses of subsequent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10"/>
            <rFont val="Arial"/>
            <family val="2"/>
          </rPr>
          <t xml:space="preserve">
BALANCE SHEET ANALYSIS ADJUSTMENT FOR </t>
        </r>
        <r>
          <rPr>
            <b/>
            <u/>
            <sz val="8"/>
            <color indexed="10"/>
            <rFont val="Arial"/>
            <family val="2"/>
          </rPr>
          <t>THIS</t>
        </r>
        <r>
          <rPr>
            <sz val="8"/>
            <color indexed="10"/>
            <rFont val="Arial"/>
            <family val="2"/>
          </rPr>
          <t xml:space="preserve"> FY IS </t>
        </r>
        <r>
          <rPr>
            <b/>
            <u/>
            <sz val="8"/>
            <color indexed="10"/>
            <rFont val="Arial"/>
            <family val="2"/>
          </rPr>
          <t>NOT</t>
        </r>
        <r>
          <rPr>
            <sz val="8"/>
            <color indexed="10"/>
            <rFont val="Arial"/>
            <family val="2"/>
          </rPr>
          <t xml:space="preserve"> USED BECAUSE IT RELATES TO THE </t>
        </r>
        <r>
          <rPr>
            <u/>
            <sz val="8"/>
            <color indexed="10"/>
            <rFont val="Arial"/>
            <family val="2"/>
          </rPr>
          <t>SIXTH</t>
        </r>
        <r>
          <rPr>
            <sz val="8"/>
            <color indexed="10"/>
            <rFont val="Arial"/>
            <family val="2"/>
          </rPr>
          <t xml:space="preserve"> PRECEDING FY (THE PROJECT EXAMINES ONLY THE </t>
        </r>
        <r>
          <rPr>
            <u/>
            <sz val="8"/>
            <color indexed="10"/>
            <rFont val="Arial"/>
            <family val="2"/>
          </rPr>
          <t>FIVE</t>
        </r>
        <r>
          <rPr>
            <sz val="8"/>
            <color indexed="10"/>
            <rFont val="Arial"/>
            <family val="2"/>
          </rPr>
          <t xml:space="preserve"> PRECEDING FYs OF THE COMPANY)</t>
        </r>
      </text>
    </comment>
    <comment ref="D93" authorId="0" shapeId="0">
      <text>
        <r>
          <rPr>
            <sz val="8"/>
            <color indexed="81"/>
            <rFont val="Arial"/>
            <family val="2"/>
          </rPr>
          <t xml:space="preserve">The income statement </t>
        </r>
        <r>
          <rPr>
            <b/>
            <sz val="8"/>
            <color indexed="81"/>
            <rFont val="Arial"/>
            <family val="2"/>
          </rPr>
          <t>analysis adjustment</t>
        </r>
        <r>
          <rPr>
            <sz val="8"/>
            <color indexed="81"/>
            <rFont val="Arial"/>
            <family val="2"/>
          </rPr>
          <t xml:space="preserve"> relates to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  because the future lease commitments relate to FYs </t>
        </r>
        <r>
          <rPr>
            <i/>
            <sz val="8"/>
            <color indexed="81"/>
            <rFont val="Arial"/>
            <family val="2"/>
          </rPr>
          <t>after</t>
        </r>
        <r>
          <rPr>
            <sz val="8"/>
            <color indexed="81"/>
            <rFont val="Arial"/>
            <family val="2"/>
          </rPr>
          <t xml:space="preserve"> the balance sheet date.</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8.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financial statements related to the </t>
        </r>
        <r>
          <rPr>
            <b/>
            <sz val="8"/>
            <color indexed="81"/>
            <rFont val="Arial"/>
            <family val="2"/>
          </rPr>
          <t>operating lease commitments</t>
        </r>
        <r>
          <rPr>
            <sz val="8"/>
            <color indexed="81"/>
            <rFont val="Arial"/>
            <family val="2"/>
          </rPr>
          <t>.  Use care not to unintentionally overwrite formulas in this worksheet tab.</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should be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t>
        </r>
      </text>
    </comment>
    <comment ref="J11" authorId="0" shapeId="0">
      <text>
        <r>
          <rPr>
            <sz val="8"/>
            <color indexed="81"/>
            <rFont val="Arial"/>
            <family val="2"/>
          </rPr>
          <t xml:space="preserve">The A602 Learning Topic 4 Background Paper discusses the how analysts estimate a company's incremental borrowing rate
</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subsequent FYs, similar analyses of subsequent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81"/>
            <rFont val="Arial"/>
            <family val="2"/>
          </rPr>
          <t xml:space="preserve">Underlying the balance sheet </t>
        </r>
        <r>
          <rPr>
            <b/>
            <sz val="8"/>
            <color indexed="81"/>
            <rFont val="Arial"/>
            <family val="2"/>
          </rPr>
          <t xml:space="preserve">analysis adjustment </t>
        </r>
        <r>
          <rPr>
            <sz val="8"/>
            <color indexed="81"/>
            <rFont val="Arial"/>
            <family val="2"/>
          </rPr>
          <t xml:space="preserve">is an assumption that the company entered into the "portfolio" of operating leases </t>
        </r>
        <r>
          <rPr>
            <i/>
            <sz val="8"/>
            <color indexed="81"/>
            <rFont val="Arial"/>
            <family val="2"/>
          </rPr>
          <t>on</t>
        </r>
        <r>
          <rPr>
            <sz val="8"/>
            <color indexed="81"/>
            <rFont val="Arial"/>
            <family val="2"/>
          </rPr>
          <t xml:space="preserve"> the balance sheet date.</t>
        </r>
      </text>
    </comment>
    <comment ref="D93" authorId="0" shapeId="0">
      <text>
        <r>
          <rPr>
            <sz val="8"/>
            <color indexed="81"/>
            <rFont val="Arial"/>
            <family val="2"/>
          </rPr>
          <t xml:space="preserve">The income statement </t>
        </r>
        <r>
          <rPr>
            <b/>
            <sz val="8"/>
            <color indexed="81"/>
            <rFont val="Arial"/>
            <family val="2"/>
          </rPr>
          <t>analysis adjustment</t>
        </r>
        <r>
          <rPr>
            <sz val="8"/>
            <color indexed="81"/>
            <rFont val="Arial"/>
            <family val="2"/>
          </rPr>
          <t xml:space="preserve"> relates to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  because the future lease commitments relate to FYs </t>
        </r>
        <r>
          <rPr>
            <i/>
            <sz val="8"/>
            <color indexed="81"/>
            <rFont val="Arial"/>
            <family val="2"/>
          </rPr>
          <t>after</t>
        </r>
        <r>
          <rPr>
            <sz val="8"/>
            <color indexed="81"/>
            <rFont val="Arial"/>
            <family val="2"/>
          </rPr>
          <t xml:space="preserve"> the balance sheet date.</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9.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financial statements related to the </t>
        </r>
        <r>
          <rPr>
            <b/>
            <sz val="8"/>
            <color indexed="81"/>
            <rFont val="Arial"/>
            <family val="2"/>
          </rPr>
          <t>operating lease commitments</t>
        </r>
        <r>
          <rPr>
            <sz val="8"/>
            <color indexed="81"/>
            <rFont val="Arial"/>
            <family val="2"/>
          </rPr>
          <t>.  Use care not to unintentionally overwrite formulas in this worksheet tab.</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should be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t>
        </r>
      </text>
    </comment>
    <comment ref="J11" authorId="0" shapeId="0">
      <text>
        <r>
          <rPr>
            <sz val="8"/>
            <color indexed="81"/>
            <rFont val="Arial"/>
            <family val="2"/>
          </rPr>
          <t xml:space="preserve">The A602 Learning Topic 4 Background Paper discusses the how analysts estimate a company's incremental borrowing rate
</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subsequent FYs, similar analyses of subsequent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81"/>
            <rFont val="Arial"/>
            <family val="2"/>
          </rPr>
          <t xml:space="preserve">Underlying the balance sheet </t>
        </r>
        <r>
          <rPr>
            <b/>
            <sz val="8"/>
            <color indexed="81"/>
            <rFont val="Arial"/>
            <family val="2"/>
          </rPr>
          <t xml:space="preserve">analysis adjustment </t>
        </r>
        <r>
          <rPr>
            <sz val="8"/>
            <color indexed="81"/>
            <rFont val="Arial"/>
            <family val="2"/>
          </rPr>
          <t xml:space="preserve">is an assumption that the company entered into the "portfolio" of operating leases </t>
        </r>
        <r>
          <rPr>
            <i/>
            <sz val="8"/>
            <color indexed="81"/>
            <rFont val="Arial"/>
            <family val="2"/>
          </rPr>
          <t>on</t>
        </r>
        <r>
          <rPr>
            <sz val="8"/>
            <color indexed="81"/>
            <rFont val="Arial"/>
            <family val="2"/>
          </rPr>
          <t xml:space="preserve"> the balance sheet date.</t>
        </r>
      </text>
    </comment>
    <comment ref="D93" authorId="0" shapeId="0">
      <text>
        <r>
          <rPr>
            <sz val="8"/>
            <color indexed="81"/>
            <rFont val="Arial"/>
            <family val="2"/>
          </rPr>
          <t xml:space="preserve">The income statement </t>
        </r>
        <r>
          <rPr>
            <b/>
            <sz val="8"/>
            <color indexed="81"/>
            <rFont val="Arial"/>
            <family val="2"/>
          </rPr>
          <t>analysis adjustment</t>
        </r>
        <r>
          <rPr>
            <sz val="8"/>
            <color indexed="81"/>
            <rFont val="Arial"/>
            <family val="2"/>
          </rPr>
          <t xml:space="preserve"> relates to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  because the future lease commitments relate to FYs </t>
        </r>
        <r>
          <rPr>
            <i/>
            <sz val="8"/>
            <color indexed="81"/>
            <rFont val="Arial"/>
            <family val="2"/>
          </rPr>
          <t>after</t>
        </r>
        <r>
          <rPr>
            <sz val="8"/>
            <color indexed="81"/>
            <rFont val="Arial"/>
            <family val="2"/>
          </rPr>
          <t xml:space="preserve"> the balance sheet date.</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10.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financial statements related to the </t>
        </r>
        <r>
          <rPr>
            <b/>
            <sz val="8"/>
            <color indexed="81"/>
            <rFont val="Arial"/>
            <family val="2"/>
          </rPr>
          <t>operating lease commitments</t>
        </r>
        <r>
          <rPr>
            <sz val="8"/>
            <color indexed="81"/>
            <rFont val="Arial"/>
            <family val="2"/>
          </rPr>
          <t>.  Use care not to unintentionally overwrite formulas in this worksheet tab.</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should be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t>
        </r>
      </text>
    </comment>
    <comment ref="J11" authorId="0" shapeId="0">
      <text>
        <r>
          <rPr>
            <sz val="8"/>
            <color indexed="81"/>
            <rFont val="Arial"/>
            <family val="2"/>
          </rPr>
          <t xml:space="preserve">The A602 Learning Topic 4 Background Paper discusses the how analysts estimate a company's incremental borrowing rate
</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subsequent FYs, similar analyses of subsequent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81"/>
            <rFont val="Arial"/>
            <family val="2"/>
          </rPr>
          <t xml:space="preserve">Underlying the balance sheet </t>
        </r>
        <r>
          <rPr>
            <b/>
            <sz val="8"/>
            <color indexed="81"/>
            <rFont val="Arial"/>
            <family val="2"/>
          </rPr>
          <t xml:space="preserve">analysis adjustment </t>
        </r>
        <r>
          <rPr>
            <sz val="8"/>
            <color indexed="81"/>
            <rFont val="Arial"/>
            <family val="2"/>
          </rPr>
          <t xml:space="preserve">is an assumption that the company entered into the "portfolio" of operating leases </t>
        </r>
        <r>
          <rPr>
            <i/>
            <sz val="8"/>
            <color indexed="81"/>
            <rFont val="Arial"/>
            <family val="2"/>
          </rPr>
          <t>on</t>
        </r>
        <r>
          <rPr>
            <sz val="8"/>
            <color indexed="81"/>
            <rFont val="Arial"/>
            <family val="2"/>
          </rPr>
          <t xml:space="preserve"> the balance sheet date.</t>
        </r>
      </text>
    </comment>
    <comment ref="D93" authorId="0" shapeId="0">
      <text>
        <r>
          <rPr>
            <sz val="8"/>
            <color indexed="81"/>
            <rFont val="Arial"/>
            <family val="2"/>
          </rPr>
          <t xml:space="preserve">The income statement </t>
        </r>
        <r>
          <rPr>
            <b/>
            <sz val="8"/>
            <color indexed="81"/>
            <rFont val="Arial"/>
            <family val="2"/>
          </rPr>
          <t>analysis adjustment</t>
        </r>
        <r>
          <rPr>
            <sz val="8"/>
            <color indexed="81"/>
            <rFont val="Arial"/>
            <family val="2"/>
          </rPr>
          <t xml:space="preserve"> relates to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  because the future lease commitments relate to FYs </t>
        </r>
        <r>
          <rPr>
            <i/>
            <sz val="8"/>
            <color indexed="81"/>
            <rFont val="Arial"/>
            <family val="2"/>
          </rPr>
          <t>after</t>
        </r>
        <r>
          <rPr>
            <sz val="8"/>
            <color indexed="81"/>
            <rFont val="Arial"/>
            <family val="2"/>
          </rPr>
          <t xml:space="preserve"> the balance sheet date.</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11.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financial statements related to the </t>
        </r>
        <r>
          <rPr>
            <b/>
            <sz val="8"/>
            <color indexed="81"/>
            <rFont val="Arial"/>
            <family val="2"/>
          </rPr>
          <t>operating lease commitments</t>
        </r>
        <r>
          <rPr>
            <sz val="8"/>
            <color indexed="81"/>
            <rFont val="Arial"/>
            <family val="2"/>
          </rPr>
          <t xml:space="preserve">.  Use care not to unintentionally overwrite formulas in this worksheet tab.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should be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t>
        </r>
      </text>
    </comment>
    <comment ref="J11" authorId="0" shapeId="0">
      <text>
        <r>
          <rPr>
            <sz val="8"/>
            <color indexed="81"/>
            <rFont val="Arial"/>
            <family val="2"/>
          </rPr>
          <t xml:space="preserve">The A602 Learning Topic 4 Background Paper discusses the how analysts estimate a company's incremental borrowing rate
</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subsequent FYs, similar analyses of subsequent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81"/>
            <rFont val="Arial"/>
            <family val="2"/>
          </rPr>
          <t xml:space="preserve">Underlying the balance sheet </t>
        </r>
        <r>
          <rPr>
            <b/>
            <sz val="8"/>
            <color indexed="81"/>
            <rFont val="Arial"/>
            <family val="2"/>
          </rPr>
          <t xml:space="preserve">analysis adjustment </t>
        </r>
        <r>
          <rPr>
            <sz val="8"/>
            <color indexed="81"/>
            <rFont val="Arial"/>
            <family val="2"/>
          </rPr>
          <t xml:space="preserve">is an assumption that the company entered into the "portfolio" of operating leases </t>
        </r>
        <r>
          <rPr>
            <i/>
            <sz val="8"/>
            <color indexed="81"/>
            <rFont val="Arial"/>
            <family val="2"/>
          </rPr>
          <t>on</t>
        </r>
        <r>
          <rPr>
            <sz val="8"/>
            <color indexed="81"/>
            <rFont val="Arial"/>
            <family val="2"/>
          </rPr>
          <t xml:space="preserve"> the balance sheet date.</t>
        </r>
      </text>
    </comment>
    <comment ref="D93" authorId="0" shapeId="0">
      <text>
        <r>
          <rPr>
            <sz val="8"/>
            <color indexed="81"/>
            <rFont val="Arial"/>
            <family val="2"/>
          </rPr>
          <t xml:space="preserve">The income statement </t>
        </r>
        <r>
          <rPr>
            <b/>
            <sz val="8"/>
            <color indexed="81"/>
            <rFont val="Arial"/>
            <family val="2"/>
          </rPr>
          <t>analysis adjustment</t>
        </r>
        <r>
          <rPr>
            <sz val="8"/>
            <color indexed="81"/>
            <rFont val="Arial"/>
            <family val="2"/>
          </rPr>
          <t xml:space="preserve"> relates to the FY immediately </t>
        </r>
        <r>
          <rPr>
            <i/>
            <sz val="8"/>
            <color indexed="81"/>
            <rFont val="Arial"/>
            <family val="2"/>
          </rPr>
          <t>following</t>
        </r>
        <r>
          <rPr>
            <sz val="8"/>
            <color indexed="81"/>
            <rFont val="Arial"/>
            <family val="2"/>
          </rPr>
          <t xml:space="preserve"> the FY of the financial statements from which the analyst obtained the lease commitment information  because the future lease commitments relate to FYs </t>
        </r>
        <r>
          <rPr>
            <i/>
            <sz val="8"/>
            <color indexed="81"/>
            <rFont val="Arial"/>
            <family val="2"/>
          </rPr>
          <t>after</t>
        </r>
        <r>
          <rPr>
            <sz val="8"/>
            <color indexed="81"/>
            <rFont val="Arial"/>
            <family val="2"/>
          </rPr>
          <t xml:space="preserve"> the balance sheet date.</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12.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financial statements related to the </t>
        </r>
        <r>
          <rPr>
            <b/>
            <sz val="8"/>
            <color indexed="81"/>
            <rFont val="Arial"/>
            <family val="2"/>
          </rPr>
          <t>operating lease commitments</t>
        </r>
        <r>
          <rPr>
            <sz val="8"/>
            <color indexed="81"/>
            <rFont val="Arial"/>
            <family val="2"/>
          </rPr>
          <t>.  Use care not to unintentionally overwrite formulas in this worksheet tab.</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IS info is NA because it refers to the FY in progress of the company, for which an analyst prepares </t>
        </r>
        <r>
          <rPr>
            <b/>
            <sz val="8"/>
            <color indexed="81"/>
            <rFont val="Arial"/>
            <family val="2"/>
          </rPr>
          <t>projected</t>
        </r>
        <r>
          <rPr>
            <sz val="8"/>
            <color indexed="81"/>
            <rFont val="Arial"/>
            <family val="2"/>
          </rPr>
          <t xml:space="preserve"> FS and therefore </t>
        </r>
        <r>
          <rPr>
            <b/>
            <sz val="8"/>
            <color indexed="81"/>
            <rFont val="Arial"/>
            <family val="2"/>
          </rPr>
          <t>analysis adjustments</t>
        </r>
        <r>
          <rPr>
            <sz val="8"/>
            <color indexed="81"/>
            <rFont val="Arial"/>
            <family val="2"/>
          </rPr>
          <t xml:space="preserve"> are NA</t>
        </r>
      </text>
    </comment>
    <comment ref="J11" authorId="0" shapeId="0">
      <text>
        <r>
          <rPr>
            <sz val="8"/>
            <color indexed="81"/>
            <rFont val="Arial"/>
            <family val="2"/>
          </rPr>
          <t xml:space="preserve">The A602 Learning Topic 4 Background Paper discusses the how analysts estimate a company's incremental borrowing rate
</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other FYs, similar analyses of other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81"/>
            <rFont val="Arial"/>
            <family val="2"/>
          </rPr>
          <t xml:space="preserve">Underlying the balance sheet </t>
        </r>
        <r>
          <rPr>
            <b/>
            <sz val="8"/>
            <color indexed="81"/>
            <rFont val="Arial"/>
            <family val="2"/>
          </rPr>
          <t xml:space="preserve">analysis adjustment </t>
        </r>
        <r>
          <rPr>
            <sz val="8"/>
            <color indexed="81"/>
            <rFont val="Arial"/>
            <family val="2"/>
          </rPr>
          <t xml:space="preserve">is an assumption that the company entered into the "portfolio" of operating leases </t>
        </r>
        <r>
          <rPr>
            <i/>
            <sz val="8"/>
            <color indexed="81"/>
            <rFont val="Arial"/>
            <family val="2"/>
          </rPr>
          <t>on</t>
        </r>
        <r>
          <rPr>
            <sz val="8"/>
            <color indexed="81"/>
            <rFont val="Arial"/>
            <family val="2"/>
          </rPr>
          <t xml:space="preserve"> the balance sheet date.</t>
        </r>
      </text>
    </comment>
    <comment ref="D93" authorId="0" shapeId="0">
      <text>
        <r>
          <rPr>
            <sz val="8"/>
            <color indexed="10"/>
            <rFont val="Arial"/>
            <family val="2"/>
          </rPr>
          <t xml:space="preserve">
INCOME STATEMENT ANALYSIS ADJUSTMENT FOR THIS FY IS </t>
        </r>
        <r>
          <rPr>
            <b/>
            <u/>
            <sz val="8"/>
            <color indexed="10"/>
            <rFont val="Arial"/>
            <family val="2"/>
          </rPr>
          <t>NOT</t>
        </r>
        <r>
          <rPr>
            <sz val="8"/>
            <color indexed="10"/>
            <rFont val="Arial"/>
            <family val="2"/>
          </rPr>
          <t xml:space="preserve"> USED BECAUSE IT RELATES TO THE FY IN PROGESS OF THE COMPANY FOR WHICH THE ANALYST PREPARES </t>
        </r>
        <r>
          <rPr>
            <u/>
            <sz val="8"/>
            <color indexed="10"/>
            <rFont val="Arial"/>
            <family val="2"/>
          </rPr>
          <t>PROJECTED</t>
        </r>
        <r>
          <rPr>
            <sz val="8"/>
            <color indexed="10"/>
            <rFont val="Arial"/>
            <family val="2"/>
          </rPr>
          <t xml:space="preserve"> FS</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13.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36 - 45 discusses and illustrates accounting for operating leases and related analysis adjustments.  Use this worksheet  to determine the necessary </t>
        </r>
        <r>
          <rPr>
            <b/>
            <sz val="8"/>
            <color indexed="81"/>
            <rFont val="Arial"/>
            <family val="2"/>
          </rPr>
          <t>analysis adjustment</t>
        </r>
        <r>
          <rPr>
            <sz val="8"/>
            <color indexed="81"/>
            <rFont val="Arial"/>
            <family val="2"/>
          </rPr>
          <t xml:space="preserve"> to </t>
        </r>
        <r>
          <rPr>
            <sz val="8"/>
            <color indexed="10"/>
            <rFont val="Arial"/>
            <family val="2"/>
          </rPr>
          <t>MOST RECENT FYE BALANCE SHEET of the KEY COMPETITOR</t>
        </r>
        <r>
          <rPr>
            <sz val="8"/>
            <color indexed="81"/>
            <rFont val="Arial"/>
            <family val="2"/>
          </rPr>
          <t xml:space="preserve"> related to its </t>
        </r>
        <r>
          <rPr>
            <b/>
            <sz val="8"/>
            <color indexed="81"/>
            <rFont val="Arial"/>
            <family val="2"/>
          </rPr>
          <t>operating lease commitments</t>
        </r>
        <r>
          <rPr>
            <sz val="8"/>
            <color indexed="81"/>
            <rFont val="Arial"/>
            <family val="2"/>
          </rPr>
          <t>.  This adjustment improves comparability of SOLVENCY ratios between the company and its Key Competitor.  Use care not to unintentionally overwrite formulas in this worksheet tab.</t>
        </r>
      </text>
    </comment>
    <comment ref="A7" authorId="0" shapeId="0">
      <text>
        <r>
          <rPr>
            <b/>
            <sz val="9"/>
            <color indexed="81"/>
            <rFont val="Arial"/>
            <family val="2"/>
          </rPr>
          <t>Input all dollar amounts in MILLIONS, NOT thousands</t>
        </r>
      </text>
    </comment>
    <comment ref="I7" authorId="0" shapeId="0">
      <text>
        <r>
          <rPr>
            <sz val="8"/>
            <color indexed="81"/>
            <rFont val="Arial"/>
            <family val="2"/>
          </rPr>
          <t xml:space="preserve">This IS info is NA </t>
        </r>
        <r>
          <rPr>
            <i/>
            <sz val="8"/>
            <color indexed="81"/>
            <rFont val="Arial"/>
            <family val="2"/>
          </rPr>
          <t>because</t>
        </r>
        <r>
          <rPr>
            <sz val="8"/>
            <color indexed="81"/>
            <rFont val="Arial"/>
            <family val="2"/>
          </rPr>
          <t xml:space="preserve"> no </t>
        </r>
        <r>
          <rPr>
            <b/>
            <sz val="8"/>
            <color indexed="81"/>
            <rFont val="Arial"/>
            <family val="2"/>
          </rPr>
          <t>analysis adjustment</t>
        </r>
        <r>
          <rPr>
            <sz val="8"/>
            <color indexed="81"/>
            <rFont val="Arial"/>
            <family val="2"/>
          </rPr>
          <t xml:space="preserve"> to the income statement of the company's Key Competitor is required for purposes of the course group project.</t>
        </r>
      </text>
    </comment>
    <comment ref="C13" authorId="0" shapeId="0">
      <text>
        <r>
          <rPr>
            <sz val="8"/>
            <color indexed="81"/>
            <rFont val="Arial"/>
            <family val="2"/>
          </rPr>
          <t xml:space="preserve">Obtain this information from the lease commitment disclosure (footnote) included in the most recent Form 10-K of the company's </t>
        </r>
        <r>
          <rPr>
            <b/>
            <sz val="8"/>
            <color indexed="10"/>
            <rFont val="Arial"/>
            <family val="2"/>
          </rPr>
          <t>Key Competitor.</t>
        </r>
      </text>
    </comment>
    <comment ref="E13" authorId="0" shapeId="0">
      <text>
        <r>
          <rPr>
            <sz val="8"/>
            <color indexed="81"/>
            <rFont val="Arial"/>
            <family val="2"/>
          </rPr>
          <t xml:space="preserve">As discussed in the A602 Learning Topic 4 Background Paper, </t>
        </r>
        <r>
          <rPr>
            <u/>
            <sz val="8"/>
            <color indexed="81"/>
            <rFont val="Arial"/>
            <family val="2"/>
          </rPr>
          <t>NO</t>
        </r>
        <r>
          <rPr>
            <sz val="8"/>
            <color indexed="81"/>
            <rFont val="Arial"/>
            <family val="2"/>
          </rPr>
          <t xml:space="preserve"> </t>
        </r>
        <r>
          <rPr>
            <b/>
            <sz val="8"/>
            <color indexed="81"/>
            <rFont val="Arial"/>
            <family val="2"/>
          </rPr>
          <t>analysis adjustment</t>
        </r>
        <r>
          <rPr>
            <sz val="8"/>
            <color indexed="81"/>
            <rFont val="Arial"/>
            <family val="2"/>
          </rPr>
          <t xml:space="preserve"> is necessary with respect to </t>
        </r>
        <r>
          <rPr>
            <i/>
            <sz val="8"/>
            <color indexed="81"/>
            <rFont val="Arial"/>
            <family val="2"/>
          </rPr>
          <t>capital leases</t>
        </r>
        <r>
          <rPr>
            <sz val="8"/>
            <color indexed="81"/>
            <rFont val="Arial"/>
            <family val="2"/>
          </rPr>
          <t xml:space="preserve"> because the financial statements already recognize the related assets, liabilities, implicit interest expense, and depreciation expense, as desired.</t>
        </r>
      </text>
    </comment>
    <comment ref="K31" authorId="0" shapeId="0">
      <text>
        <r>
          <rPr>
            <sz val="8"/>
            <color indexed="81"/>
            <rFont val="Arial"/>
            <family val="2"/>
          </rPr>
          <t xml:space="preserve">As discussed in the A602 Learning Topic 4 Background Paper, analysts use only the information for the first 2 rows of this table to determine an </t>
        </r>
        <r>
          <rPr>
            <b/>
            <sz val="8"/>
            <color indexed="81"/>
            <rFont val="Arial"/>
            <family val="2"/>
          </rPr>
          <t>analysis adjustment</t>
        </r>
        <r>
          <rPr>
            <sz val="8"/>
            <color indexed="81"/>
            <rFont val="Arial"/>
            <family val="2"/>
          </rPr>
          <t xml:space="preserve"> to the balance sheet.  In order to determine </t>
        </r>
        <r>
          <rPr>
            <b/>
            <sz val="8"/>
            <color indexed="81"/>
            <rFont val="Arial"/>
            <family val="2"/>
          </rPr>
          <t>analysis adjustments</t>
        </r>
        <r>
          <rPr>
            <sz val="8"/>
            <color indexed="81"/>
            <rFont val="Arial"/>
            <family val="2"/>
          </rPr>
          <t xml:space="preserve"> for other FYs, similar analyses of other FYs' operating lease commitment disclosures is necessary.</t>
        </r>
      </text>
    </comment>
    <comment ref="C36" authorId="0" shapeId="0">
      <text>
        <r>
          <rPr>
            <sz val="8"/>
            <color indexed="81"/>
            <rFont val="Arial"/>
            <family val="2"/>
          </rPr>
          <t xml:space="preserve">Assume year 5 amount </t>
        </r>
        <r>
          <rPr>
            <i/>
            <sz val="8"/>
            <color indexed="81"/>
            <rFont val="Arial"/>
            <family val="2"/>
          </rPr>
          <t xml:space="preserve">is also </t>
        </r>
        <r>
          <rPr>
            <sz val="8"/>
            <color indexed="81"/>
            <rFont val="Arial"/>
            <family val="2"/>
          </rPr>
          <t>the</t>
        </r>
        <r>
          <rPr>
            <i/>
            <sz val="8"/>
            <color indexed="81"/>
            <rFont val="Arial"/>
            <family val="2"/>
          </rPr>
          <t xml:space="preserve"> </t>
        </r>
        <r>
          <rPr>
            <sz val="8"/>
            <color indexed="81"/>
            <rFont val="Arial"/>
            <family val="2"/>
          </rPr>
          <t xml:space="preserve">amount in each year of the "thereafter" period, except . . . </t>
        </r>
      </text>
    </comment>
    <comment ref="C41" authorId="0" shapeId="0">
      <text>
        <r>
          <rPr>
            <sz val="8"/>
            <color indexed="81"/>
            <rFont val="Arial"/>
            <family val="2"/>
          </rPr>
          <t>. . . for final year ("plug" remainder).</t>
        </r>
      </text>
    </comment>
    <comment ref="K41" authorId="0" shapeId="0">
      <text>
        <r>
          <rPr>
            <sz val="8"/>
            <color indexed="81"/>
            <rFont val="Arial"/>
            <family val="2"/>
          </rPr>
          <t xml:space="preserve">Depreciation amounts are computed here using the </t>
        </r>
        <r>
          <rPr>
            <b/>
            <sz val="8"/>
            <color indexed="81"/>
            <rFont val="Arial"/>
            <family val="2"/>
          </rPr>
          <t>straight-line method</t>
        </r>
        <r>
          <rPr>
            <sz val="8"/>
            <color indexed="81"/>
            <rFont val="Arial"/>
            <family val="2"/>
          </rPr>
          <t xml:space="preserve">, </t>
        </r>
        <r>
          <rPr>
            <i/>
            <sz val="8"/>
            <color indexed="81"/>
            <rFont val="Arial"/>
            <family val="2"/>
          </rPr>
          <t>assuming</t>
        </r>
        <r>
          <rPr>
            <sz val="8"/>
            <color indexed="81"/>
            <rFont val="Arial"/>
            <family val="2"/>
          </rPr>
          <t xml:space="preserve"> this is the policy disclosed in the company's "policy" footnote (in its financial statements).</t>
        </r>
      </text>
    </comment>
    <comment ref="H59" authorId="0" shapeId="0">
      <text>
        <r>
          <rPr>
            <sz val="8"/>
            <color indexed="81"/>
            <rFont val="Arial"/>
            <family val="2"/>
          </rPr>
          <t xml:space="preserve">As discussed in the A602 Learning Topic 4 Background Paper, analysts use only the information for the </t>
        </r>
        <r>
          <rPr>
            <b/>
            <sz val="8"/>
            <color indexed="81"/>
            <rFont val="Arial"/>
            <family val="2"/>
          </rPr>
          <t>first</t>
        </r>
        <r>
          <rPr>
            <sz val="8"/>
            <color indexed="81"/>
            <rFont val="Arial"/>
            <family val="2"/>
          </rPr>
          <t xml:space="preserve"> FY in this table to determine an </t>
        </r>
        <r>
          <rPr>
            <b/>
            <sz val="8"/>
            <color indexed="81"/>
            <rFont val="Arial"/>
            <family val="2"/>
          </rPr>
          <t>analysis adjustment</t>
        </r>
        <r>
          <rPr>
            <sz val="8"/>
            <color indexed="81"/>
            <rFont val="Arial"/>
            <family val="2"/>
          </rPr>
          <t xml:space="preserve">.  In order to determine </t>
        </r>
        <r>
          <rPr>
            <b/>
            <sz val="8"/>
            <color indexed="81"/>
            <rFont val="Arial"/>
            <family val="2"/>
          </rPr>
          <t>analysis adjustments</t>
        </r>
        <r>
          <rPr>
            <sz val="8"/>
            <color indexed="81"/>
            <rFont val="Arial"/>
            <family val="2"/>
          </rPr>
          <t xml:space="preserve"> for subsequent FYs, a similar analysis of subsequent FYs' operating lease commitment disclosures is necessary.</t>
        </r>
      </text>
    </comment>
    <comment ref="H79" authorId="0" shapeId="0">
      <text>
        <r>
          <rPr>
            <sz val="8"/>
            <color indexed="81"/>
            <rFont val="Arial"/>
            <family val="2"/>
          </rPr>
          <t xml:space="preserve">As discussed in the A602 Learning Topic 4 Background Paper, the differences between </t>
        </r>
        <r>
          <rPr>
            <b/>
            <sz val="8"/>
            <color indexed="81"/>
            <rFont val="Arial"/>
            <family val="2"/>
          </rPr>
          <t>operating lease</t>
        </r>
        <r>
          <rPr>
            <sz val="8"/>
            <color indexed="81"/>
            <rFont val="Arial"/>
            <family val="2"/>
          </rPr>
          <t xml:space="preserve"> and </t>
        </r>
        <r>
          <rPr>
            <b/>
            <sz val="8"/>
            <color indexed="81"/>
            <rFont val="Arial"/>
            <family val="2"/>
          </rPr>
          <t>capital lease</t>
        </r>
        <r>
          <rPr>
            <sz val="8"/>
            <color indexed="81"/>
            <rFont val="Arial"/>
            <family val="2"/>
          </rPr>
          <t xml:space="preserve"> accounting treatments are only</t>
        </r>
        <r>
          <rPr>
            <i/>
            <sz val="8"/>
            <color indexed="81"/>
            <rFont val="Arial"/>
            <family val="2"/>
          </rPr>
          <t xml:space="preserve"> (i)</t>
        </r>
        <r>
          <rPr>
            <sz val="8"/>
            <color indexed="81"/>
            <rFont val="Arial"/>
            <family val="2"/>
          </rPr>
          <t xml:space="preserve"> characterization (or classification) and</t>
        </r>
        <r>
          <rPr>
            <i/>
            <sz val="8"/>
            <color indexed="81"/>
            <rFont val="Arial"/>
            <family val="2"/>
          </rPr>
          <t xml:space="preserve"> (ii) </t>
        </r>
        <r>
          <rPr>
            <sz val="8"/>
            <color indexed="81"/>
            <rFont val="Arial"/>
            <family val="2"/>
          </rPr>
          <t xml:space="preserve">timing.  This is because the total </t>
        </r>
        <r>
          <rPr>
            <i/>
            <sz val="8"/>
            <color indexed="81"/>
            <rFont val="Arial"/>
            <family val="2"/>
          </rPr>
          <t>cash flows are unchanged</t>
        </r>
        <r>
          <rPr>
            <sz val="8"/>
            <color indexed="81"/>
            <rFont val="Arial"/>
            <family val="2"/>
          </rPr>
          <t xml:space="preserve"> by the accounting method used.</t>
        </r>
      </text>
    </comment>
    <comment ref="D81" authorId="0" shapeId="0">
      <text>
        <r>
          <rPr>
            <sz val="8"/>
            <color indexed="81"/>
            <rFont val="Arial"/>
            <family val="2"/>
          </rPr>
          <t xml:space="preserve">Underlying the balance sheet </t>
        </r>
        <r>
          <rPr>
            <b/>
            <sz val="8"/>
            <color indexed="81"/>
            <rFont val="Arial"/>
            <family val="2"/>
          </rPr>
          <t xml:space="preserve">analysis adjustment </t>
        </r>
        <r>
          <rPr>
            <sz val="8"/>
            <color indexed="81"/>
            <rFont val="Arial"/>
            <family val="2"/>
          </rPr>
          <t xml:space="preserve">is an assumption that the company entered into the "portfolio" of operating leases </t>
        </r>
        <r>
          <rPr>
            <i/>
            <sz val="8"/>
            <color indexed="81"/>
            <rFont val="Arial"/>
            <family val="2"/>
          </rPr>
          <t>on</t>
        </r>
        <r>
          <rPr>
            <sz val="8"/>
            <color indexed="81"/>
            <rFont val="Arial"/>
            <family val="2"/>
          </rPr>
          <t xml:space="preserve"> the balance sheet date.</t>
        </r>
      </text>
    </comment>
    <comment ref="D93" authorId="0" shapeId="0">
      <text>
        <r>
          <rPr>
            <sz val="8"/>
            <color indexed="10"/>
            <rFont val="Arial"/>
            <family val="2"/>
          </rPr>
          <t xml:space="preserve">
</t>
        </r>
        <r>
          <rPr>
            <b/>
            <sz val="8"/>
            <color indexed="10"/>
            <rFont val="Arial"/>
            <family val="2"/>
          </rPr>
          <t xml:space="preserve">
INCOME STATEMENT ANALYSIS ADJUSTMENTS</t>
        </r>
        <r>
          <rPr>
            <sz val="8"/>
            <color indexed="10"/>
            <rFont val="Arial"/>
            <family val="2"/>
          </rPr>
          <t xml:space="preserve"> FOR THE COMPANY's </t>
        </r>
        <r>
          <rPr>
            <b/>
            <sz val="8"/>
            <color indexed="10"/>
            <rFont val="Arial"/>
            <family val="2"/>
          </rPr>
          <t>KEY COMPETITOR</t>
        </r>
        <r>
          <rPr>
            <sz val="8"/>
            <color indexed="10"/>
            <rFont val="Arial"/>
            <family val="2"/>
          </rPr>
          <t xml:space="preserve"> ARE </t>
        </r>
        <r>
          <rPr>
            <b/>
            <u/>
            <sz val="8"/>
            <color indexed="10"/>
            <rFont val="Arial"/>
            <family val="2"/>
          </rPr>
          <t>NOT</t>
        </r>
        <r>
          <rPr>
            <sz val="8"/>
            <color indexed="10"/>
            <rFont val="Arial"/>
            <family val="2"/>
          </rPr>
          <t xml:space="preserve"> REQUIRED.</t>
        </r>
      </text>
    </comment>
    <comment ref="F96" authorId="0" shapeId="0">
      <text>
        <r>
          <rPr>
            <sz val="8"/>
            <color indexed="81"/>
            <rFont val="Arial"/>
            <family val="2"/>
          </rPr>
          <t xml:space="preserve">Of course, there is no account called "net income."  However, as discussed in the A602 Learning Topic 4 Background Paper, analysts financial analysts are not bound by </t>
        </r>
        <r>
          <rPr>
            <b/>
            <sz val="8"/>
            <color indexed="81"/>
            <rFont val="Arial"/>
            <family val="2"/>
          </rPr>
          <t>articulation</t>
        </r>
        <r>
          <rPr>
            <sz val="8"/>
            <color indexed="81"/>
            <rFont val="Arial"/>
            <family val="2"/>
          </rPr>
          <t xml:space="preserve">.  Consequently, this is a balancing item only, which analysts may use as a "check figure" when summarizing </t>
        </r>
        <r>
          <rPr>
            <b/>
            <sz val="8"/>
            <color indexed="81"/>
            <rFont val="Arial"/>
            <family val="2"/>
          </rPr>
          <t>analysis adjustments</t>
        </r>
        <r>
          <rPr>
            <sz val="8"/>
            <color indexed="81"/>
            <rFont val="Arial"/>
            <family val="2"/>
          </rPr>
          <t xml:space="preserve">.
While this illustrative </t>
        </r>
        <r>
          <rPr>
            <b/>
            <sz val="8"/>
            <color indexed="81"/>
            <rFont val="Arial"/>
            <family val="2"/>
          </rPr>
          <t>analysis adjustment</t>
        </r>
        <r>
          <rPr>
            <sz val="8"/>
            <color indexed="81"/>
            <rFont val="Arial"/>
            <family val="2"/>
          </rPr>
          <t xml:space="preserve"> resulted in a </t>
        </r>
        <r>
          <rPr>
            <i/>
            <sz val="8"/>
            <color indexed="81"/>
            <rFont val="Arial"/>
            <family val="2"/>
          </rPr>
          <t>reduction</t>
        </r>
        <r>
          <rPr>
            <sz val="8"/>
            <color indexed="81"/>
            <rFont val="Arial"/>
            <family val="2"/>
          </rPr>
          <t xml:space="preserve"> of net income (and income tax expense), the </t>
        </r>
        <r>
          <rPr>
            <b/>
            <sz val="8"/>
            <color indexed="81"/>
            <rFont val="Arial"/>
            <family val="2"/>
          </rPr>
          <t>analysis adjustment</t>
        </r>
        <r>
          <rPr>
            <sz val="8"/>
            <color indexed="81"/>
            <rFont val="Arial"/>
            <family val="2"/>
          </rPr>
          <t xml:space="preserve"> for a particular FY or company could give rise to an </t>
        </r>
        <r>
          <rPr>
            <i/>
            <sz val="8"/>
            <color indexed="81"/>
            <rFont val="Arial"/>
            <family val="2"/>
          </rPr>
          <t>increase</t>
        </r>
        <r>
          <rPr>
            <sz val="8"/>
            <color indexed="81"/>
            <rFont val="Arial"/>
            <family val="2"/>
          </rPr>
          <t xml:space="preserve"> in (debits to) net income and income tax expense, </t>
        </r>
        <r>
          <rPr>
            <i/>
            <sz val="8"/>
            <color indexed="81"/>
            <rFont val="Arial"/>
            <family val="2"/>
          </rPr>
          <t xml:space="preserve">depending on </t>
        </r>
        <r>
          <rPr>
            <sz val="8"/>
            <color indexed="81"/>
            <rFont val="Arial"/>
            <family val="2"/>
          </rPr>
          <t>the MLP commitment schedule and estimated incremental borrowing rate used to discount those cash flows.</t>
        </r>
      </text>
    </comment>
    <comment ref="E97" authorId="0" shapeId="0">
      <text>
        <r>
          <rPr>
            <sz val="8"/>
            <color indexed="81"/>
            <rFont val="Arial"/>
            <family val="2"/>
          </rPr>
          <t>Analysts make a judgment about the extent to which SG&amp;A, COGS, or both, should be credited based on the nature of company's business and the leased properties.</t>
        </r>
      </text>
    </comment>
    <comment ref="E98" authorId="0" shapeId="0">
      <text>
        <r>
          <rPr>
            <sz val="8"/>
            <color indexed="81"/>
            <rFont val="Arial"/>
            <family val="2"/>
          </rPr>
          <t xml:space="preserve">Except in the unusual case that a company reports pre-tax </t>
        </r>
        <r>
          <rPr>
            <i/>
            <sz val="8"/>
            <color indexed="81"/>
            <rFont val="Arial"/>
            <family val="2"/>
          </rPr>
          <t>income</t>
        </r>
        <r>
          <rPr>
            <sz val="8"/>
            <color indexed="81"/>
            <rFont val="Arial"/>
            <family val="2"/>
          </rPr>
          <t xml:space="preserve"> and a tax </t>
        </r>
        <r>
          <rPr>
            <i/>
            <sz val="8"/>
            <color indexed="81"/>
            <rFont val="Arial"/>
            <family val="2"/>
          </rPr>
          <t>benefit</t>
        </r>
        <r>
          <rPr>
            <sz val="8"/>
            <color indexed="81"/>
            <rFont val="Arial"/>
            <family val="2"/>
          </rPr>
          <t xml:space="preserve"> (rather than tax </t>
        </r>
        <r>
          <rPr>
            <i/>
            <sz val="8"/>
            <color indexed="81"/>
            <rFont val="Arial"/>
            <family val="2"/>
          </rPr>
          <t>expense</t>
        </r>
        <r>
          <rPr>
            <sz val="8"/>
            <color indexed="81"/>
            <rFont val="Arial"/>
            <family val="2"/>
          </rPr>
          <t xml:space="preserve">), an </t>
        </r>
        <r>
          <rPr>
            <b/>
            <sz val="8"/>
            <color indexed="81"/>
            <rFont val="Arial"/>
            <family val="2"/>
          </rPr>
          <t>analysis adjustment</t>
        </r>
        <r>
          <rPr>
            <sz val="8"/>
            <color indexed="81"/>
            <rFont val="Arial"/>
            <family val="2"/>
          </rPr>
          <t xml:space="preserve"> that </t>
        </r>
        <r>
          <rPr>
            <i/>
            <sz val="8"/>
            <color indexed="81"/>
            <rFont val="Arial"/>
            <family val="2"/>
          </rPr>
          <t>reduces</t>
        </r>
        <r>
          <rPr>
            <sz val="8"/>
            <color indexed="81"/>
            <rFont val="Arial"/>
            <family val="2"/>
          </rPr>
          <t xml:space="preserve"> net income for a particular FY should also </t>
        </r>
        <r>
          <rPr>
            <i/>
            <sz val="8"/>
            <color indexed="81"/>
            <rFont val="Arial"/>
            <family val="2"/>
          </rPr>
          <t>reduce</t>
        </r>
        <r>
          <rPr>
            <sz val="8"/>
            <color indexed="81"/>
            <rFont val="Arial"/>
            <family val="2"/>
          </rPr>
          <t xml:space="preserve"> the income tax provision for that FY.  Conversely, an </t>
        </r>
        <r>
          <rPr>
            <b/>
            <sz val="8"/>
            <color indexed="81"/>
            <rFont val="Arial"/>
            <family val="2"/>
          </rPr>
          <t>analysis adjustment</t>
        </r>
        <r>
          <rPr>
            <sz val="8"/>
            <color indexed="81"/>
            <rFont val="Arial"/>
            <family val="2"/>
          </rPr>
          <t xml:space="preserve"> that </t>
        </r>
        <r>
          <rPr>
            <i/>
            <sz val="8"/>
            <color indexed="81"/>
            <rFont val="Arial"/>
            <family val="2"/>
          </rPr>
          <t>increases</t>
        </r>
        <r>
          <rPr>
            <sz val="8"/>
            <color indexed="81"/>
            <rFont val="Arial"/>
            <family val="2"/>
          </rPr>
          <t xml:space="preserve"> net income should also </t>
        </r>
        <r>
          <rPr>
            <i/>
            <sz val="8"/>
            <color indexed="81"/>
            <rFont val="Arial"/>
            <family val="2"/>
          </rPr>
          <t>increase</t>
        </r>
        <r>
          <rPr>
            <sz val="8"/>
            <color indexed="81"/>
            <rFont val="Arial"/>
            <family val="2"/>
          </rPr>
          <t xml:space="preserve"> the income tax provision for the corresponding FY.  Analysts determine the amount of the adjustment to income tax expense using the combined effective income tax rate for the FY analyzed. </t>
        </r>
      </text>
    </comment>
  </commentList>
</comments>
</file>

<file path=xl/comments14.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53 - 63, discusses and illustrates defined-benefit pension and OPEB cost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income statements (IS), </t>
        </r>
        <r>
          <rPr>
            <u/>
            <sz val="8"/>
            <color indexed="81"/>
            <rFont val="Arial"/>
            <family val="2"/>
          </rPr>
          <t>using the benefit plan expense table included in the pension or employee benefit plan FN to the FS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9" authorId="0" shapeId="0">
      <text>
        <r>
          <rPr>
            <b/>
            <sz val="9"/>
            <color indexed="81"/>
            <rFont val="Arial"/>
            <family val="2"/>
          </rPr>
          <t>Input all dollar amounts in MILLIONS, NOT thousands</t>
        </r>
      </text>
    </comment>
  </commentList>
</comments>
</file>

<file path=xl/comments15.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27 - 35, discusses and illustrates inventory cost-flow assumptions and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FS, depending on whether the company uses the </t>
        </r>
        <r>
          <rPr>
            <b/>
            <sz val="8"/>
            <color indexed="81"/>
            <rFont val="Arial"/>
            <family val="2"/>
          </rPr>
          <t>LIFO</t>
        </r>
        <r>
          <rPr>
            <sz val="8"/>
            <color indexed="81"/>
            <rFont val="Arial"/>
            <family val="2"/>
          </rPr>
          <t xml:space="preserve">, </t>
        </r>
        <r>
          <rPr>
            <b/>
            <sz val="8"/>
            <color indexed="81"/>
            <rFont val="Arial"/>
            <family val="2"/>
          </rPr>
          <t>FIFO</t>
        </r>
        <r>
          <rPr>
            <sz val="8"/>
            <color indexed="81"/>
            <rFont val="Arial"/>
            <family val="2"/>
          </rPr>
          <t xml:space="preserve">, or </t>
        </r>
        <r>
          <rPr>
            <b/>
            <sz val="8"/>
            <color indexed="81"/>
            <rFont val="Arial"/>
            <family val="2"/>
          </rPr>
          <t>Average Cost</t>
        </r>
        <r>
          <rPr>
            <sz val="8"/>
            <color indexed="81"/>
            <rFont val="Arial"/>
            <family val="2"/>
          </rPr>
          <t xml:space="preserve"> cost-flow assumption (method).  </t>
        </r>
        <r>
          <rPr>
            <u/>
            <sz val="8"/>
            <color indexed="81"/>
            <rFont val="Arial"/>
            <family val="2"/>
          </rPr>
          <t>Companies disclose the method used in the "accounting policy" ("SOSAP") FN to the FS</t>
        </r>
        <r>
          <rPr>
            <sz val="8"/>
            <color indexed="81"/>
            <rFont val="Arial"/>
            <family val="2"/>
          </rPr>
          <t xml:space="preserve"> and </t>
        </r>
        <r>
          <rPr>
            <u/>
            <sz val="8"/>
            <color indexed="81"/>
            <rFont val="Arial"/>
            <family val="2"/>
          </rPr>
          <t>a "LIFO company" discloses the amount of its "LIFO reserve" in its "inventory" FN to the FS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10" authorId="0" shapeId="0">
      <text>
        <r>
          <rPr>
            <b/>
            <sz val="9"/>
            <color indexed="81"/>
            <rFont val="Arial"/>
            <family val="2"/>
          </rPr>
          <t>Input all dollar amounts in MILLIONS, NOT thousands</t>
        </r>
      </text>
    </comment>
    <comment ref="A29" authorId="0" shapeId="0">
      <text>
        <r>
          <rPr>
            <b/>
            <sz val="9"/>
            <color indexed="81"/>
            <rFont val="Arial"/>
            <family val="2"/>
          </rPr>
          <t>Input all dollar amounts in MILLIONS, NOT thousands</t>
        </r>
      </text>
    </comment>
    <comment ref="A51" authorId="0" shapeId="0">
      <text>
        <r>
          <rPr>
            <b/>
            <sz val="9"/>
            <color indexed="81"/>
            <rFont val="Arial"/>
            <family val="2"/>
          </rPr>
          <t>Input all dollar amounts in MILLIONS, NOT thousands</t>
        </r>
      </text>
    </comment>
  </commentList>
</comments>
</file>

<file path=xl/comments16.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46 - 50, discusses noncancellable, fixed-price vendor supply and other agreements and illustrates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balance sheets (BS), </t>
        </r>
        <r>
          <rPr>
            <u/>
            <sz val="8"/>
            <color indexed="81"/>
            <rFont val="Arial"/>
            <family val="2"/>
          </rPr>
          <t>using information disclosed in the "commitments and contingencies" (or similar) FN to the FS and related Item 7 MD&amp;A disclosures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10" authorId="0" shapeId="0">
      <text>
        <r>
          <rPr>
            <b/>
            <sz val="9"/>
            <color indexed="81"/>
            <rFont val="Arial"/>
            <family val="2"/>
          </rPr>
          <t>Input all dollar amounts in MILLIONS, NOT thousands</t>
        </r>
      </text>
    </comment>
    <comment ref="A32" authorId="0" shapeId="0">
      <text>
        <r>
          <rPr>
            <b/>
            <sz val="9"/>
            <color indexed="81"/>
            <rFont val="Arial"/>
            <family val="2"/>
          </rPr>
          <t>Input all dollar amounts in MILLIONS, NOT thousands</t>
        </r>
      </text>
    </comment>
    <comment ref="A61" authorId="0" shapeId="0">
      <text>
        <r>
          <rPr>
            <b/>
            <sz val="9"/>
            <color indexed="81"/>
            <rFont val="Arial"/>
            <family val="2"/>
          </rPr>
          <t>Input all dollar amounts in MILLIONS, NOT thousands</t>
        </r>
      </text>
    </comment>
    <comment ref="A90" authorId="0" shapeId="0">
      <text>
        <r>
          <rPr>
            <b/>
            <sz val="9"/>
            <color indexed="81"/>
            <rFont val="Arial"/>
            <family val="2"/>
          </rPr>
          <t>Input all dollar amounts in MILLIONS, NOT thousands</t>
        </r>
      </text>
    </comment>
  </commentList>
</comments>
</file>

<file path=xl/comments17.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51 - 52, discusses guarantees of debt of unconsolidated affiliated entities and illustrates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balance sheets (BS), </t>
        </r>
        <r>
          <rPr>
            <u/>
            <sz val="8"/>
            <color indexed="81"/>
            <rFont val="Arial"/>
            <family val="2"/>
          </rPr>
          <t>using information disclosed in the "commitments and contingencies," "debt," or other FNs to the FS and related Item 7 MD&amp;A disclosures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10" authorId="0" shapeId="0">
      <text>
        <r>
          <rPr>
            <b/>
            <sz val="9"/>
            <color indexed="81"/>
            <rFont val="Arial"/>
            <family val="2"/>
          </rPr>
          <t>Input all dollar amounts in MILLIONS, NOT thousands</t>
        </r>
      </text>
    </comment>
  </commentList>
</comments>
</file>

<file path=xl/comments18.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64 - 65, discusses interest capitalized as part of internally constructed assets and illustrates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income statements (IS), </t>
        </r>
        <r>
          <rPr>
            <u/>
            <sz val="8"/>
            <color indexed="81"/>
            <rFont val="Arial"/>
            <family val="2"/>
          </rPr>
          <t>using information included in the PP&amp;E, debt, or other FNs to the FS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9" authorId="0" shapeId="0">
      <text>
        <r>
          <rPr>
            <b/>
            <sz val="9"/>
            <color indexed="81"/>
            <rFont val="Arial"/>
            <family val="2"/>
          </rPr>
          <t>Input all dollar amounts in MILLIONS, NOT thousands</t>
        </r>
      </text>
    </comment>
  </commentList>
</comments>
</file>

<file path=xl/comments19.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66 - 78, discusses asset Impairments and business restructurings (including goodwill impairment, impairment of other intangible assets, impairment of long-lived tangible assets (including PP&amp;E), and business restructurings) and illustrates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income statements (IS), </t>
        </r>
        <r>
          <rPr>
            <u/>
            <sz val="8"/>
            <color indexed="81"/>
            <rFont val="Arial"/>
            <family val="2"/>
          </rPr>
          <t>using information disclosed in the FNs to the FS and related Item 7 MD&amp;A disclosures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10" authorId="0" shapeId="0">
      <text>
        <r>
          <rPr>
            <b/>
            <sz val="9"/>
            <color indexed="81"/>
            <rFont val="Arial"/>
            <family val="2"/>
          </rPr>
          <t>Input all dollar amounts in MILLIONS, NOT thousands</t>
        </r>
      </text>
    </comment>
    <comment ref="A28" authorId="0" shapeId="0">
      <text>
        <r>
          <rPr>
            <sz val="8"/>
            <color indexed="81"/>
            <rFont val="Arial"/>
            <family val="2"/>
          </rPr>
          <t xml:space="preserve">Whether goodwill impairment loss </t>
        </r>
        <r>
          <rPr>
            <b/>
            <sz val="8"/>
            <color indexed="81"/>
            <rFont val="Arial"/>
            <family val="2"/>
          </rPr>
          <t>analysis adjustments</t>
        </r>
        <r>
          <rPr>
            <sz val="8"/>
            <color indexed="81"/>
            <rFont val="Arial"/>
            <family val="2"/>
          </rPr>
          <t xml:space="preserve"> should include a tax effect depends on the income tax structure of the acquisition that gave rise to the recognized goodwill asset originally, as disclosed in the company's "income tax" (or other) FS FN.  See pages 69 - 70 of the A602 Learning Topic 4 Background Paper for complete discussion of this point.</t>
        </r>
      </text>
    </comment>
  </commentList>
</comments>
</file>

<file path=xl/comments20.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85 - 91, discusses gains and losses from early extinguishment or restructuring of debt and illustrates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income statements (IS), </t>
        </r>
        <r>
          <rPr>
            <u/>
            <sz val="8"/>
            <color indexed="81"/>
            <rFont val="Arial"/>
            <family val="2"/>
          </rPr>
          <t>using the "debt" or other FNs to the FS and related Item 7 MD&amp;A disclosures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10" authorId="0" shapeId="0">
      <text>
        <r>
          <rPr>
            <b/>
            <sz val="9"/>
            <color indexed="81"/>
            <rFont val="Arial"/>
            <family val="2"/>
          </rPr>
          <t>Input all dollar amounts in MILLIONS, NOT thousands</t>
        </r>
      </text>
    </comment>
  </commentList>
</comments>
</file>

<file path=xl/comments21.xml><?xml version="1.0" encoding="utf-8"?>
<comments xmlns="http://schemas.openxmlformats.org/spreadsheetml/2006/main">
  <authors>
    <author>Ronald E. Neufeld</author>
  </authors>
  <commentList>
    <comment ref="A1" authorId="0" shapeId="0">
      <text>
        <r>
          <rPr>
            <sz val="8"/>
            <color indexed="81"/>
            <rFont val="Arial"/>
            <family val="2"/>
          </rPr>
          <t xml:space="preserve">The A602 Learning Topic 4 Background Paper, pages 92 - 99, discusses gains and losses from sales of investment securities and PP&amp;E illustrates related </t>
        </r>
        <r>
          <rPr>
            <b/>
            <sz val="8"/>
            <color indexed="81"/>
            <rFont val="Arial"/>
            <family val="2"/>
          </rPr>
          <t>analysis adjustments</t>
        </r>
        <r>
          <rPr>
            <sz val="8"/>
            <color indexed="81"/>
            <rFont val="Arial"/>
            <family val="2"/>
          </rPr>
          <t xml:space="preserve">.  Use this worksheet  to determine any necessary </t>
        </r>
        <r>
          <rPr>
            <b/>
            <sz val="8"/>
            <color indexed="81"/>
            <rFont val="Arial"/>
            <family val="2"/>
          </rPr>
          <t>analysis adjustments</t>
        </r>
        <r>
          <rPr>
            <sz val="8"/>
            <color indexed="81"/>
            <rFont val="Arial"/>
            <family val="2"/>
          </rPr>
          <t xml:space="preserve"> to a company's income statements (IS), </t>
        </r>
        <r>
          <rPr>
            <u/>
            <sz val="8"/>
            <color indexed="81"/>
            <rFont val="Arial"/>
            <family val="2"/>
          </rPr>
          <t>using the "investments," "PP&amp;E," or other FNs to the FS and related Item 7 MD&amp;A disclosures</t>
        </r>
        <r>
          <rPr>
            <sz val="8"/>
            <color indexed="81"/>
            <rFont val="Arial"/>
            <family val="2"/>
          </rPr>
          <t xml:space="preserve">, presented in its Annual Reports on Form 10-K.
Use care not to unintentionally overwrite formulas in this worksheet tab.
Amounts </t>
        </r>
        <r>
          <rPr>
            <sz val="8"/>
            <color indexed="32"/>
            <rFont val="Arial"/>
            <family val="2"/>
          </rPr>
          <t>in blue shaded cells</t>
        </r>
        <r>
          <rPr>
            <sz val="8"/>
            <color indexed="81"/>
            <rFont val="Arial"/>
            <family val="2"/>
          </rPr>
          <t xml:space="preserve"> are illustrative only.  (See the </t>
        </r>
        <r>
          <rPr>
            <b/>
            <sz val="8"/>
            <color indexed="10"/>
            <rFont val="Arial"/>
            <family val="2"/>
          </rPr>
          <t>Overview &amp; Explanation</t>
        </r>
        <r>
          <rPr>
            <sz val="8"/>
            <color indexed="81"/>
            <rFont val="Arial"/>
            <family val="2"/>
          </rPr>
          <t xml:space="preserve"> worksheet to view the </t>
        </r>
        <r>
          <rPr>
            <b/>
            <sz val="8"/>
            <color indexed="32"/>
            <rFont val="Arial"/>
            <family val="2"/>
          </rPr>
          <t>Week 3 Analysis Adjustments Assignment Grading Rubric</t>
        </r>
        <r>
          <rPr>
            <sz val="8"/>
            <color indexed="81"/>
            <rFont val="Arial"/>
            <family val="2"/>
          </rPr>
          <t>.)</t>
        </r>
      </text>
    </comment>
    <comment ref="A10" authorId="0" shapeId="0">
      <text>
        <r>
          <rPr>
            <b/>
            <sz val="9"/>
            <color indexed="81"/>
            <rFont val="Arial"/>
            <family val="2"/>
          </rPr>
          <t>Input all dollar amounts in MILLIONS, NOT thousands</t>
        </r>
      </text>
    </comment>
  </commentList>
</comments>
</file>

<file path=xl/comments22.xml><?xml version="1.0" encoding="utf-8"?>
<comments xmlns="http://schemas.openxmlformats.org/spreadsheetml/2006/main">
  <authors>
    <author>Ronald E. Neufeld</author>
  </authors>
  <commentList>
    <comment ref="A3" authorId="0" shapeId="0">
      <text>
        <r>
          <rPr>
            <sz val="8"/>
            <color indexed="81"/>
            <rFont val="Arial"/>
            <family val="2"/>
          </rPr>
          <t xml:space="preserve">The A602 Learning Topic 5 Background Paper, pages 3-9, explains the preparation, purpose, and interpretation of the NI-to-OCF analysis.  </t>
        </r>
        <r>
          <rPr>
            <u/>
            <sz val="8"/>
            <color indexed="81"/>
            <rFont val="Arial"/>
            <family val="2"/>
          </rPr>
          <t>Do NOT modify the formatting in this template</t>
        </r>
        <r>
          <rPr>
            <sz val="8"/>
            <color indexed="81"/>
            <rFont val="Arial"/>
            <family val="2"/>
          </rPr>
          <t xml:space="preserve"> (to ensure a professional-looking presentation).  Use care not to unintentionally overwrite formulas in this worksheet tab.  Paste a picture image of this schedule in Section 5 of the report.</t>
        </r>
      </text>
    </comment>
    <comment ref="K4" authorId="0" shapeId="0">
      <text>
        <r>
          <rPr>
            <sz val="8"/>
            <color indexed="81"/>
            <rFont val="Arial"/>
            <family val="2"/>
          </rPr>
          <t xml:space="preserve">Further below in this column, </t>
        </r>
        <r>
          <rPr>
            <b/>
            <sz val="8"/>
            <color indexed="81"/>
            <rFont val="Arial"/>
            <family val="2"/>
          </rPr>
          <t>comment</t>
        </r>
        <r>
          <rPr>
            <sz val="8"/>
            <color indexed="81"/>
            <rFont val="Arial"/>
            <family val="2"/>
          </rPr>
          <t xml:space="preserve"> on </t>
        </r>
        <r>
          <rPr>
            <i/>
            <sz val="8"/>
            <color indexed="81"/>
            <rFont val="Arial"/>
            <family val="2"/>
          </rPr>
          <t>(1)</t>
        </r>
        <r>
          <rPr>
            <sz val="8"/>
            <color indexed="81"/>
            <rFont val="Arial"/>
            <family val="2"/>
          </rPr>
          <t xml:space="preserve">positive reconciling items that do not appear to be sustainable sources of OCF, </t>
        </r>
        <r>
          <rPr>
            <i/>
            <sz val="8"/>
            <color indexed="81"/>
            <rFont val="Arial"/>
            <family val="2"/>
          </rPr>
          <t>(2)</t>
        </r>
        <r>
          <rPr>
            <sz val="8"/>
            <color indexed="81"/>
            <rFont val="Arial"/>
            <family val="2"/>
          </rPr>
          <t xml:space="preserve">the level and trend of the company's cumulative ratio of OCF to NI before D&amp;A and </t>
        </r>
        <r>
          <rPr>
            <i/>
            <sz val="8"/>
            <color indexed="81"/>
            <rFont val="Arial"/>
            <family val="2"/>
          </rPr>
          <t>(3)</t>
        </r>
        <r>
          <rPr>
            <sz val="8"/>
            <color indexed="81"/>
            <rFont val="Arial"/>
            <family val="2"/>
          </rPr>
          <t xml:space="preserve"> the trend of the company's average AR collection period, inventory "days," DPO, and net operating cycle, </t>
        </r>
        <r>
          <rPr>
            <b/>
            <sz val="8"/>
            <color indexed="81"/>
            <rFont val="Arial"/>
            <family val="2"/>
          </rPr>
          <t>emphasizing</t>
        </r>
        <r>
          <rPr>
            <sz val="8"/>
            <color indexed="81"/>
            <rFont val="Arial"/>
            <family val="2"/>
          </rPr>
          <t xml:space="preserve"> their </t>
        </r>
        <r>
          <rPr>
            <u/>
            <sz val="8"/>
            <color indexed="81"/>
            <rFont val="Arial"/>
            <family val="2"/>
          </rPr>
          <t>implications</t>
        </r>
        <r>
          <rPr>
            <sz val="8"/>
            <color indexed="81"/>
            <rFont val="Arial"/>
            <family val="2"/>
          </rPr>
          <t xml:space="preserve"> for the company's </t>
        </r>
        <r>
          <rPr>
            <b/>
            <sz val="8"/>
            <color indexed="81"/>
            <rFont val="Arial"/>
            <family val="2"/>
          </rPr>
          <t>earnings quality</t>
        </r>
        <r>
          <rPr>
            <sz val="8"/>
            <color indexed="81"/>
            <rFont val="Arial"/>
            <family val="2"/>
          </rPr>
          <t xml:space="preserve">.
Do </t>
        </r>
        <r>
          <rPr>
            <b/>
            <u/>
            <sz val="8"/>
            <color indexed="81"/>
            <rFont val="Arial"/>
            <family val="2"/>
          </rPr>
          <t>not</t>
        </r>
        <r>
          <rPr>
            <sz val="8"/>
            <color indexed="81"/>
            <rFont val="Arial"/>
            <family val="2"/>
          </rPr>
          <t xml:space="preserve"> define ratios (e.g., "this ratio indicates the relationship of operating cash flow to accrual basis income").
Do </t>
        </r>
        <r>
          <rPr>
            <b/>
            <u/>
            <sz val="8"/>
            <color indexed="81"/>
            <rFont val="Arial"/>
            <family val="2"/>
          </rPr>
          <t>not</t>
        </r>
        <r>
          <rPr>
            <sz val="8"/>
            <color indexed="81"/>
            <rFont val="Arial"/>
            <family val="2"/>
          </rPr>
          <t xml:space="preserve"> </t>
        </r>
        <r>
          <rPr>
            <i/>
            <sz val="8"/>
            <color indexed="81"/>
            <rFont val="Arial"/>
            <family val="2"/>
          </rPr>
          <t>only</t>
        </r>
        <r>
          <rPr>
            <sz val="8"/>
            <color indexed="81"/>
            <rFont val="Arial"/>
            <family val="2"/>
          </rPr>
          <t xml:space="preserve"> "state the obvious" (e.g., "the ratio's trend is favorable").
– </t>
        </r>
        <r>
          <rPr>
            <b/>
            <sz val="8"/>
            <color indexed="81"/>
            <rFont val="Arial"/>
            <family val="2"/>
          </rPr>
          <t>Write in clear and complete sentences (subject, verb, punctuation, etc).
– Spell-check your comments.  
– Comments must fit within the space provided, without widening columns, increasing row heights, or other format changes</t>
        </r>
        <r>
          <rPr>
            <sz val="8"/>
            <color indexed="81"/>
            <rFont val="Arial"/>
            <family val="2"/>
          </rPr>
          <t xml:space="preserve">.
</t>
        </r>
        <r>
          <rPr>
            <u/>
            <sz val="8"/>
            <color indexed="81"/>
            <rFont val="Arial"/>
            <family val="2"/>
          </rPr>
          <t>All cells in this workbook tab are already properly formatted for correct and professional-looking display of ratios and FS amounts</t>
        </r>
        <r>
          <rPr>
            <sz val="8"/>
            <color indexed="81"/>
            <rFont val="Arial"/>
            <family val="2"/>
          </rPr>
          <t>.
Scroll to the bottom of the worksheet to view the assignment grading rubric.</t>
        </r>
      </text>
    </comment>
    <comment ref="A6" authorId="0" shapeId="0">
      <text>
        <r>
          <rPr>
            <b/>
            <sz val="9"/>
            <color indexed="81"/>
            <rFont val="Arial"/>
            <family val="2"/>
          </rPr>
          <t>Input all dollar amounts in MILLIONS, NOT thousands</t>
        </r>
      </text>
    </comment>
    <comment ref="A20" authorId="0" shapeId="0">
      <text>
        <r>
          <rPr>
            <sz val="8"/>
            <color indexed="81"/>
            <rFont val="Arial"/>
            <family val="2"/>
          </rPr>
          <t xml:space="preserve">Verify that the formulas in this NI-to-OCF schedule properly reflects the list of reconciling items shown in the SCF schedule that is included in the </t>
        </r>
        <r>
          <rPr>
            <b/>
            <sz val="8"/>
            <color indexed="81"/>
            <rFont val="Arial"/>
            <family val="2"/>
          </rPr>
          <t>Common Size FS</t>
        </r>
        <r>
          <rPr>
            <sz val="8"/>
            <color indexed="81"/>
            <rFont val="Arial"/>
            <family val="2"/>
          </rPr>
          <t xml:space="preserve"> workbook tab.  </t>
        </r>
        <r>
          <rPr>
            <sz val="8"/>
            <color indexed="10"/>
            <rFont val="Arial"/>
            <family val="2"/>
          </rPr>
          <t>(Hide this comment before copying-and-pasting an "image" of this worksheet into the final report.)</t>
        </r>
      </text>
    </comment>
    <comment ref="G29" authorId="0" shapeId="0">
      <text>
        <r>
          <rPr>
            <sz val="8"/>
            <color indexed="81"/>
            <rFont val="Arial"/>
            <family val="2"/>
          </rPr>
          <t xml:space="preserve">Estimate the net increase or decrease in "other, net" based on the average </t>
        </r>
        <r>
          <rPr>
            <i/>
            <sz val="8"/>
            <color indexed="81"/>
            <rFont val="Arial"/>
            <family val="2"/>
          </rPr>
          <t>or</t>
        </r>
        <r>
          <rPr>
            <sz val="8"/>
            <color indexed="81"/>
            <rFont val="Arial"/>
            <family val="2"/>
          </rPr>
          <t xml:space="preserve"> trend of this element during last five FYs.</t>
        </r>
      </text>
    </comment>
    <comment ref="A31" authorId="0" shapeId="0">
      <text>
        <r>
          <rPr>
            <sz val="8"/>
            <color indexed="81"/>
            <rFont val="Arial"/>
            <family val="2"/>
          </rPr>
          <t xml:space="preserve">Explanation of ratio formulas: If OCF for a FY (or cumulatively) is greater than $0 and NI before D&amp;A for the same FY (or cumulatively) is less than $0 (a loss), the resulting ratio of OCF to NI before D&amp;A is “NM” (not meaningful).  </t>
        </r>
        <r>
          <rPr>
            <sz val="8"/>
            <color indexed="10"/>
            <rFont val="Arial"/>
            <family val="2"/>
          </rPr>
          <t>(Hide this comment before copying-and-pasting an "image" of this worksheet into the final report.)</t>
        </r>
      </text>
    </comment>
    <comment ref="A42" authorId="0" shapeId="0">
      <text>
        <r>
          <rPr>
            <sz val="8"/>
            <color indexed="81"/>
            <rFont val="Arial"/>
            <family val="2"/>
          </rPr>
          <t>The A602 Learning Topic 5 Background Paper, pages 10-13, explains the preparation, purpose, and interpretation of the FCF analysis.  Do NOT modify the formatting in this template (to ensure a professional-looking presentation).  Use care not to unintentionally overwrite formulas in this worksheet tab.  Paste a picture image of this schedule in Section 5 of the report.</t>
        </r>
      </text>
    </comment>
    <comment ref="K48" authorId="0" shapeId="0">
      <text>
        <r>
          <rPr>
            <sz val="8"/>
            <color indexed="81"/>
            <rFont val="Arial"/>
            <family val="2"/>
          </rPr>
          <t xml:space="preserve">Further below in this column, </t>
        </r>
        <r>
          <rPr>
            <b/>
            <sz val="8"/>
            <color indexed="81"/>
            <rFont val="Arial"/>
            <family val="2"/>
          </rPr>
          <t>comment</t>
        </r>
        <r>
          <rPr>
            <sz val="8"/>
            <color indexed="81"/>
            <rFont val="Arial"/>
            <family val="2"/>
          </rPr>
          <t xml:space="preserve"> on </t>
        </r>
        <r>
          <rPr>
            <i/>
            <sz val="8"/>
            <color indexed="81"/>
            <rFont val="Arial"/>
            <family val="2"/>
          </rPr>
          <t>(1)</t>
        </r>
        <r>
          <rPr>
            <sz val="8"/>
            <color indexed="81"/>
            <rFont val="Arial"/>
            <family val="2"/>
          </rPr>
          <t xml:space="preserve">the trend of the company's FCF and </t>
        </r>
        <r>
          <rPr>
            <i/>
            <sz val="8"/>
            <color indexed="81"/>
            <rFont val="Arial"/>
            <family val="2"/>
          </rPr>
          <t>(2)</t>
        </r>
        <r>
          <rPr>
            <sz val="8"/>
            <color indexed="81"/>
            <rFont val="Arial"/>
            <family val="2"/>
          </rPr>
          <t xml:space="preserve">the level and trend of the company's FCF as a percent of income from continuing operations, </t>
        </r>
        <r>
          <rPr>
            <b/>
            <sz val="8"/>
            <color indexed="81"/>
            <rFont val="Arial"/>
            <family val="2"/>
          </rPr>
          <t>emphasizing</t>
        </r>
        <r>
          <rPr>
            <sz val="8"/>
            <color indexed="81"/>
            <rFont val="Arial"/>
            <family val="2"/>
          </rPr>
          <t xml:space="preserve"> their </t>
        </r>
        <r>
          <rPr>
            <u/>
            <sz val="8"/>
            <color indexed="81"/>
            <rFont val="Arial"/>
            <family val="2"/>
          </rPr>
          <t>implications</t>
        </r>
        <r>
          <rPr>
            <sz val="8"/>
            <color indexed="81"/>
            <rFont val="Arial"/>
            <family val="2"/>
          </rPr>
          <t xml:space="preserve"> for the company's </t>
        </r>
        <r>
          <rPr>
            <b/>
            <sz val="8"/>
            <color indexed="81"/>
            <rFont val="Arial"/>
            <family val="2"/>
          </rPr>
          <t>financial flexibility</t>
        </r>
        <r>
          <rPr>
            <sz val="8"/>
            <color indexed="81"/>
            <rFont val="Arial"/>
            <family val="2"/>
          </rPr>
          <t xml:space="preserve">.
Do </t>
        </r>
        <r>
          <rPr>
            <b/>
            <u/>
            <sz val="8"/>
            <color indexed="81"/>
            <rFont val="Arial"/>
            <family val="2"/>
          </rPr>
          <t>not</t>
        </r>
        <r>
          <rPr>
            <sz val="8"/>
            <color indexed="81"/>
            <rFont val="Arial"/>
            <family val="2"/>
          </rPr>
          <t xml:space="preserve"> define ratios (e.g., "this ratio indicates the relationship of free cash flow to accrual basis income").
Do </t>
        </r>
        <r>
          <rPr>
            <b/>
            <u/>
            <sz val="8"/>
            <color indexed="81"/>
            <rFont val="Arial"/>
            <family val="2"/>
          </rPr>
          <t>not</t>
        </r>
        <r>
          <rPr>
            <sz val="8"/>
            <color indexed="81"/>
            <rFont val="Arial"/>
            <family val="2"/>
          </rPr>
          <t xml:space="preserve"> </t>
        </r>
        <r>
          <rPr>
            <i/>
            <sz val="8"/>
            <color indexed="81"/>
            <rFont val="Arial"/>
            <family val="2"/>
          </rPr>
          <t>only</t>
        </r>
        <r>
          <rPr>
            <sz val="8"/>
            <color indexed="81"/>
            <rFont val="Arial"/>
            <family val="2"/>
          </rPr>
          <t xml:space="preserve"> "state the obvious" (e.g., "the ratio's trend is favorable").</t>
        </r>
      </text>
    </comment>
    <comment ref="A49" authorId="0" shapeId="0">
      <text>
        <r>
          <rPr>
            <b/>
            <sz val="9"/>
            <color indexed="81"/>
            <rFont val="Arial"/>
            <family val="2"/>
          </rPr>
          <t>Input all dollar amounts in MILLIONS, NOT thousands</t>
        </r>
      </text>
    </comment>
    <comment ref="I49" authorId="0" shapeId="0">
      <text>
        <r>
          <rPr>
            <sz val="8"/>
            <color indexed="81"/>
            <rFont val="Arial"/>
            <family val="2"/>
          </rPr>
          <t xml:space="preserve">Amounts for </t>
        </r>
        <r>
          <rPr>
            <u/>
            <sz val="8"/>
            <color indexed="81"/>
            <rFont val="Arial"/>
            <family val="2"/>
          </rPr>
          <t>sixth</t>
        </r>
        <r>
          <rPr>
            <sz val="8"/>
            <color indexed="81"/>
            <rFont val="Arial"/>
            <family val="2"/>
          </rPr>
          <t xml:space="preserve"> preceding year, here, are required only to compute the net increase (decrease) in FCF (US dollar and percent changes) for </t>
        </r>
        <r>
          <rPr>
            <u/>
            <sz val="8"/>
            <color indexed="81"/>
            <rFont val="Arial"/>
            <family val="2"/>
          </rPr>
          <t>fifth</t>
        </r>
        <r>
          <rPr>
            <sz val="8"/>
            <color indexed="81"/>
            <rFont val="Arial"/>
            <family val="2"/>
          </rPr>
          <t xml:space="preserve"> preceding year (in Column B).</t>
        </r>
      </text>
    </comment>
    <comment ref="A52" authorId="0" shapeId="0">
      <text>
        <r>
          <rPr>
            <sz val="8"/>
            <color indexed="81"/>
            <rFont val="Arial"/>
            <family val="2"/>
          </rPr>
          <t xml:space="preserve">Review the formulas in the CapEx (capital expenditures) row (for all FYs) to ensure they accurately include those items comprising the company's CapEx, as defined and discussed in the A602 Learning Topic 5 Background Paper (pages 10 - 11).  Modify these formulas, as necessary, to ensure this is the case.  </t>
        </r>
        <r>
          <rPr>
            <sz val="8"/>
            <color indexed="10"/>
            <rFont val="Arial"/>
            <family val="2"/>
          </rPr>
          <t>(Hide this comment before copying-and-pasting an "image" of this worksheet into the final report.)</t>
        </r>
      </text>
    </comment>
  </commentList>
</comments>
</file>

<file path=xl/comments23.xml><?xml version="1.0" encoding="utf-8"?>
<comments xmlns="http://schemas.openxmlformats.org/spreadsheetml/2006/main">
  <authors>
    <author>Ronald E. Neufeld</author>
  </authors>
  <commentList>
    <comment ref="A6" authorId="0" shapeId="0">
      <text>
        <r>
          <rPr>
            <sz val="8"/>
            <color indexed="81"/>
            <rFont val="Arial"/>
            <family val="2"/>
          </rPr>
          <t xml:space="preserve">The A602 Learning Topic 6 Background Paper discusses ROI (RNOA and ROCE) analysis.  </t>
        </r>
        <r>
          <rPr>
            <u/>
            <sz val="8"/>
            <color indexed="81"/>
            <rFont val="Arial"/>
            <family val="2"/>
          </rPr>
          <t>Do NOT modify the formatting in this template</t>
        </r>
        <r>
          <rPr>
            <sz val="8"/>
            <color indexed="81"/>
            <rFont val="Arial"/>
            <family val="2"/>
          </rPr>
          <t xml:space="preserve"> (to ensure a professional-looking presentation).  Use care not to unintentionally overwrite formulas in this worksheet tab.  Paste picture images of these schedules into report Section 8. </t>
        </r>
      </text>
    </comment>
    <comment ref="B10" authorId="0" shapeId="0">
      <text>
        <r>
          <rPr>
            <sz val="8"/>
            <color indexed="81"/>
            <rFont val="Arial"/>
            <family val="2"/>
          </rPr>
          <t xml:space="preserve">Sixth prior-year data is included primarily to permit computation of fifth prior-year financial ratios that use balance sheet averages.  </t>
        </r>
        <r>
          <rPr>
            <sz val="8"/>
            <color indexed="10"/>
            <rFont val="Arial"/>
            <family val="2"/>
          </rPr>
          <t xml:space="preserve">Hide this comment and set this column's WIDTH to </t>
        </r>
        <r>
          <rPr>
            <b/>
            <sz val="8"/>
            <color indexed="10"/>
            <rFont val="Arial"/>
            <family val="2"/>
          </rPr>
          <t>0.1</t>
        </r>
        <r>
          <rPr>
            <sz val="8"/>
            <color indexed="10"/>
            <rFont val="Arial"/>
            <family val="2"/>
          </rPr>
          <t xml:space="preserve"> BEFORE copying-and-pasting picture images of the FS (BS, IS, and SCF) into Section 8 of the final report.</t>
        </r>
      </text>
    </comment>
    <comment ref="H10" authorId="0" shapeId="0">
      <text>
        <r>
          <rPr>
            <sz val="8"/>
            <color indexed="81"/>
            <rFont val="Arial"/>
            <family val="2"/>
          </rPr>
          <t xml:space="preserve">Further below, for each ratio, </t>
        </r>
        <r>
          <rPr>
            <b/>
            <sz val="8"/>
            <color indexed="81"/>
            <rFont val="Arial"/>
            <family val="2"/>
          </rPr>
          <t>comment</t>
        </r>
        <r>
          <rPr>
            <sz val="8"/>
            <color indexed="81"/>
            <rFont val="Arial"/>
            <family val="2"/>
          </rPr>
          <t xml:space="preserve">  in this column on the (1) </t>
        </r>
        <r>
          <rPr>
            <i/>
            <sz val="8"/>
            <color indexed="81"/>
            <rFont val="Arial"/>
            <family val="2"/>
          </rPr>
          <t>trend</t>
        </r>
        <r>
          <rPr>
            <sz val="8"/>
            <color indexed="81"/>
            <rFont val="Arial"/>
            <family val="2"/>
          </rPr>
          <t xml:space="preserve">, </t>
        </r>
        <r>
          <rPr>
            <b/>
            <sz val="8"/>
            <color indexed="81"/>
            <rFont val="Arial"/>
            <family val="2"/>
          </rPr>
          <t>emphasizing</t>
        </r>
        <r>
          <rPr>
            <sz val="8"/>
            <color indexed="81"/>
            <rFont val="Arial"/>
            <family val="2"/>
          </rPr>
          <t xml:space="preserve"> </t>
        </r>
        <r>
          <rPr>
            <i/>
            <sz val="8"/>
            <color indexed="81"/>
            <rFont val="Arial"/>
            <family val="2"/>
          </rPr>
          <t>(i)</t>
        </r>
        <r>
          <rPr>
            <sz val="8"/>
            <color indexed="81"/>
            <rFont val="Arial"/>
            <family val="2"/>
          </rPr>
          <t xml:space="preserve"> its likely business or financial </t>
        </r>
        <r>
          <rPr>
            <u/>
            <sz val="8"/>
            <color indexed="81"/>
            <rFont val="Arial"/>
            <family val="2"/>
          </rPr>
          <t>implications</t>
        </r>
        <r>
          <rPr>
            <sz val="8"/>
            <color indexed="81"/>
            <rFont val="Arial"/>
            <family val="2"/>
          </rPr>
          <t xml:space="preserve"> and </t>
        </r>
        <r>
          <rPr>
            <i/>
            <sz val="8"/>
            <color indexed="81"/>
            <rFont val="Arial"/>
            <family val="2"/>
          </rPr>
          <t>(ii)</t>
        </r>
        <r>
          <rPr>
            <sz val="8"/>
            <color indexed="81"/>
            <rFont val="Arial"/>
            <family val="2"/>
          </rPr>
          <t xml:space="preserve"> the </t>
        </r>
        <r>
          <rPr>
            <u/>
            <sz val="8"/>
            <color indexed="81"/>
            <rFont val="Arial"/>
            <family val="2"/>
          </rPr>
          <t>relationship</t>
        </r>
        <r>
          <rPr>
            <sz val="8"/>
            <color indexed="81"/>
            <rFont val="Arial"/>
            <family val="2"/>
          </rPr>
          <t xml:space="preserve"> of the trends </t>
        </r>
        <r>
          <rPr>
            <i/>
            <sz val="8"/>
            <color indexed="81"/>
            <rFont val="Arial"/>
            <family val="2"/>
          </rPr>
          <t>to</t>
        </r>
        <r>
          <rPr>
            <sz val="8"/>
            <color indexed="81"/>
            <rFont val="Arial"/>
            <family val="2"/>
          </rPr>
          <t xml:space="preserve"> trends in </t>
        </r>
        <r>
          <rPr>
            <i/>
            <sz val="8"/>
            <color indexed="81"/>
            <rFont val="Arial"/>
            <family val="2"/>
          </rPr>
          <t>other</t>
        </r>
        <r>
          <rPr>
            <sz val="8"/>
            <color indexed="81"/>
            <rFont val="Arial"/>
            <family val="2"/>
          </rPr>
          <t xml:space="preserve"> ratios included in this workbook tab.
Do </t>
        </r>
        <r>
          <rPr>
            <b/>
            <u/>
            <sz val="8"/>
            <color indexed="81"/>
            <rFont val="Arial"/>
            <family val="2"/>
          </rPr>
          <t>not</t>
        </r>
        <r>
          <rPr>
            <sz val="8"/>
            <color indexed="81"/>
            <rFont val="Arial"/>
            <family val="2"/>
          </rPr>
          <t xml:space="preserve"> define the ratios (e.g., "this ratio indicates the extent of financial leverage included in the company's capital structure").
Do </t>
        </r>
        <r>
          <rPr>
            <b/>
            <u/>
            <sz val="8"/>
            <color indexed="81"/>
            <rFont val="Arial"/>
            <family val="2"/>
          </rPr>
          <t>not</t>
        </r>
        <r>
          <rPr>
            <sz val="8"/>
            <color indexed="81"/>
            <rFont val="Arial"/>
            <family val="2"/>
          </rPr>
          <t xml:space="preserve"> </t>
        </r>
        <r>
          <rPr>
            <i/>
            <sz val="8"/>
            <color indexed="81"/>
            <rFont val="Arial"/>
            <family val="2"/>
          </rPr>
          <t>only</t>
        </r>
        <r>
          <rPr>
            <sz val="8"/>
            <color indexed="81"/>
            <rFont val="Arial"/>
            <family val="2"/>
          </rPr>
          <t xml:space="preserve"> "state the obvious" (e.g., "the ratio's trend is favorable").
</t>
        </r>
        <r>
          <rPr>
            <b/>
            <sz val="8"/>
            <color indexed="81"/>
            <rFont val="Arial"/>
            <family val="2"/>
          </rPr>
          <t>– Write in clear and complete sentences (subject, verb, punctuation, etc).
– Spell-check your comments.  
– Comments must fit within the space provided, without widening columns, increasing row heights, or other format changes.</t>
        </r>
        <r>
          <rPr>
            <sz val="8"/>
            <color indexed="81"/>
            <rFont val="Arial"/>
            <family val="2"/>
          </rPr>
          <t xml:space="preserve">
</t>
        </r>
        <r>
          <rPr>
            <u/>
            <sz val="8"/>
            <color indexed="81"/>
            <rFont val="Arial"/>
            <family val="2"/>
          </rPr>
          <t>All cells in this workbook tab are already properly formatted for correct and professional-looking display of ratios and FS amounts</t>
        </r>
        <r>
          <rPr>
            <sz val="8"/>
            <color indexed="81"/>
            <rFont val="Arial"/>
            <family val="2"/>
          </rPr>
          <t>.
(Scroll to the bottom of the worksheet to view the assignment grading rubric.)</t>
        </r>
      </text>
    </comment>
    <comment ref="A14" authorId="0" shapeId="0">
      <text>
        <r>
          <rPr>
            <sz val="8"/>
            <color indexed="81"/>
            <rFont val="Arial"/>
            <family val="2"/>
          </rPr>
          <t xml:space="preserve">Use the supporting schedule below (see bottom of this workbook tab) to estimate any "excess" C&amp;CE.   </t>
        </r>
        <r>
          <rPr>
            <sz val="8"/>
            <color indexed="10"/>
            <rFont val="Arial"/>
            <family val="2"/>
          </rPr>
          <t>(Hide this comment before copying-and-pasting an "image" of this worksheet into the final report.)</t>
        </r>
      </text>
    </comment>
    <comment ref="A52" authorId="0" shapeId="0">
      <text>
        <r>
          <rPr>
            <sz val="8"/>
            <color indexed="81"/>
            <rFont val="Arial"/>
            <family val="2"/>
          </rPr>
          <t xml:space="preserve">Use the supporting schedule below (bottom of this workbook tab) to estimate any "excess" C&amp;CE.   </t>
        </r>
        <r>
          <rPr>
            <sz val="8"/>
            <color indexed="10"/>
            <rFont val="Arial"/>
            <family val="2"/>
          </rPr>
          <t>(Hide this comment before copying-and-pasting an "image" of this worksheet into the final report.)</t>
        </r>
      </text>
    </comment>
    <comment ref="A59" authorId="0" shapeId="0">
      <text>
        <r>
          <rPr>
            <sz val="8"/>
            <color indexed="81"/>
            <rFont val="Arial"/>
            <family val="2"/>
          </rPr>
          <t xml:space="preserve">Verify that CE, computed here indirectly as NOA – NFO, is equal to CE computed below directly as the sum of CE BS elements.  If not, locate and correct the error (e.g., an element has been included more than once, or an element has not been included).   </t>
        </r>
        <r>
          <rPr>
            <sz val="8"/>
            <color indexed="10"/>
            <rFont val="Arial"/>
            <family val="2"/>
          </rPr>
          <t>(Hide this comment before copying-and-pasting an "image" of this worksheet into the final report.)</t>
        </r>
      </text>
    </comment>
    <comment ref="A74" authorId="0" shapeId="0">
      <text>
        <r>
          <rPr>
            <b/>
            <sz val="9"/>
            <color indexed="81"/>
            <rFont val="Arial"/>
            <family val="2"/>
          </rPr>
          <t>Input all dollar amounts in MILLIONS, NOT thousands</t>
        </r>
      </text>
    </comment>
    <comment ref="A105" authorId="0" shapeId="0">
      <text>
        <r>
          <rPr>
            <b/>
            <sz val="9"/>
            <color indexed="81"/>
            <rFont val="Arial"/>
            <family val="2"/>
          </rPr>
          <t>Input all dollar amounts in MILLIONS, NOT thousands</t>
        </r>
      </text>
    </comment>
    <comment ref="A108" authorId="0" shapeId="0">
      <text>
        <r>
          <rPr>
            <sz val="8"/>
            <color indexed="81"/>
            <rFont val="Arial"/>
            <family val="2"/>
          </rPr>
          <t xml:space="preserve">Modify the elements comprising the computation of NOPAT based on analysis of the nature of the items reported in "other income (expense)" above.  </t>
        </r>
        <r>
          <rPr>
            <sz val="8"/>
            <color indexed="10"/>
            <rFont val="Arial"/>
            <family val="2"/>
          </rPr>
          <t>(Hide this comment before copying-and-pasting an "image" of this worksheet into the final report.)</t>
        </r>
      </text>
    </comment>
    <comment ref="A121" authorId="0" shapeId="0">
      <text>
        <r>
          <rPr>
            <sz val="8"/>
            <color indexed="81"/>
            <rFont val="Arial"/>
            <family val="2"/>
          </rPr>
          <t xml:space="preserve">Modify the elements comprising the computation of NFE based on analysis of the nature of the items reported in "other income (expense)" above.   </t>
        </r>
        <r>
          <rPr>
            <sz val="8"/>
            <color indexed="10"/>
            <rFont val="Arial"/>
            <family val="2"/>
          </rPr>
          <t>(Hide this comment before copying-and-pasting an "image" of this worksheet into the final report.)</t>
        </r>
      </text>
    </comment>
    <comment ref="A124" authorId="0" shapeId="0">
      <text>
        <r>
          <rPr>
            <sz val="8"/>
            <color indexed="81"/>
            <rFont val="Arial"/>
            <family val="2"/>
          </rPr>
          <t xml:space="preserve">Effective tax rate = Income tax provision </t>
        </r>
        <r>
          <rPr>
            <i/>
            <sz val="8"/>
            <color indexed="81"/>
            <rFont val="Arial"/>
            <family val="2"/>
          </rPr>
          <t>divide</t>
        </r>
        <r>
          <rPr>
            <sz val="8"/>
            <color indexed="81"/>
            <rFont val="Arial"/>
            <family val="2"/>
          </rPr>
          <t xml:space="preserve"> Income from continuing operations before income taxes.   </t>
        </r>
        <r>
          <rPr>
            <sz val="8"/>
            <color indexed="10"/>
            <rFont val="Arial"/>
            <family val="2"/>
          </rPr>
          <t>(Hide this comment before copying-and-pasting an "image" of this worksheet into the final report.)</t>
        </r>
        <r>
          <rPr>
            <sz val="9"/>
            <color indexed="81"/>
            <rFont val="Tahoma"/>
            <family val="2"/>
          </rPr>
          <t xml:space="preserve">
</t>
        </r>
      </text>
    </comment>
    <comment ref="A129" authorId="0" shapeId="0">
      <text>
        <r>
          <rPr>
            <sz val="8"/>
            <color indexed="81"/>
            <rFont val="Arial"/>
            <family val="2"/>
          </rPr>
          <t>This "check figure" should be zero.  If not, locate and correct the error(s)</t>
        </r>
      </text>
    </comment>
    <comment ref="H135" authorId="0" shapeId="0">
      <text>
        <r>
          <rPr>
            <sz val="8"/>
            <color indexed="81"/>
            <rFont val="Arial"/>
            <family val="2"/>
          </rPr>
          <t xml:space="preserve">For each ratio (or group of ratios, further below), </t>
        </r>
        <r>
          <rPr>
            <b/>
            <sz val="8"/>
            <color indexed="81"/>
            <rFont val="Arial"/>
            <family val="2"/>
          </rPr>
          <t>comment</t>
        </r>
        <r>
          <rPr>
            <sz val="8"/>
            <color indexed="81"/>
            <rFont val="Arial"/>
            <family val="2"/>
          </rPr>
          <t xml:space="preserve">  in this column on the (1) </t>
        </r>
        <r>
          <rPr>
            <i/>
            <sz val="8"/>
            <color indexed="81"/>
            <rFont val="Arial"/>
            <family val="2"/>
          </rPr>
          <t>trend</t>
        </r>
        <r>
          <rPr>
            <sz val="8"/>
            <color indexed="81"/>
            <rFont val="Arial"/>
            <family val="2"/>
          </rPr>
          <t xml:space="preserve">, </t>
        </r>
        <r>
          <rPr>
            <b/>
            <sz val="8"/>
            <color indexed="81"/>
            <rFont val="Arial"/>
            <family val="2"/>
          </rPr>
          <t>emphasizing</t>
        </r>
        <r>
          <rPr>
            <sz val="8"/>
            <color indexed="81"/>
            <rFont val="Arial"/>
            <family val="2"/>
          </rPr>
          <t xml:space="preserve"> </t>
        </r>
        <r>
          <rPr>
            <i/>
            <sz val="8"/>
            <color indexed="81"/>
            <rFont val="Arial"/>
            <family val="2"/>
          </rPr>
          <t>(i)</t>
        </r>
        <r>
          <rPr>
            <sz val="8"/>
            <color indexed="81"/>
            <rFont val="Arial"/>
            <family val="2"/>
          </rPr>
          <t xml:space="preserve"> its likely business or financial </t>
        </r>
        <r>
          <rPr>
            <u/>
            <sz val="8"/>
            <color indexed="81"/>
            <rFont val="Arial"/>
            <family val="2"/>
          </rPr>
          <t>implications</t>
        </r>
        <r>
          <rPr>
            <sz val="8"/>
            <color indexed="81"/>
            <rFont val="Arial"/>
            <family val="2"/>
          </rPr>
          <t xml:space="preserve"> and </t>
        </r>
        <r>
          <rPr>
            <i/>
            <sz val="8"/>
            <color indexed="81"/>
            <rFont val="Arial"/>
            <family val="2"/>
          </rPr>
          <t>(ii)</t>
        </r>
        <r>
          <rPr>
            <sz val="8"/>
            <color indexed="81"/>
            <rFont val="Arial"/>
            <family val="2"/>
          </rPr>
          <t xml:space="preserve"> the </t>
        </r>
        <r>
          <rPr>
            <u/>
            <sz val="8"/>
            <color indexed="81"/>
            <rFont val="Arial"/>
            <family val="2"/>
          </rPr>
          <t>relationship</t>
        </r>
        <r>
          <rPr>
            <sz val="8"/>
            <color indexed="81"/>
            <rFont val="Arial"/>
            <family val="2"/>
          </rPr>
          <t xml:space="preserve"> of the trends </t>
        </r>
        <r>
          <rPr>
            <i/>
            <sz val="8"/>
            <color indexed="81"/>
            <rFont val="Arial"/>
            <family val="2"/>
          </rPr>
          <t>to</t>
        </r>
        <r>
          <rPr>
            <sz val="8"/>
            <color indexed="81"/>
            <rFont val="Arial"/>
            <family val="2"/>
          </rPr>
          <t xml:space="preserve"> trends in </t>
        </r>
        <r>
          <rPr>
            <i/>
            <sz val="8"/>
            <color indexed="81"/>
            <rFont val="Arial"/>
            <family val="2"/>
          </rPr>
          <t>other</t>
        </r>
        <r>
          <rPr>
            <sz val="8"/>
            <color indexed="81"/>
            <rFont val="Arial"/>
            <family val="2"/>
          </rPr>
          <t xml:space="preserve"> ratios included in this workbook tab.
Do </t>
        </r>
        <r>
          <rPr>
            <b/>
            <u/>
            <sz val="8"/>
            <color indexed="81"/>
            <rFont val="Arial"/>
            <family val="2"/>
          </rPr>
          <t>not</t>
        </r>
        <r>
          <rPr>
            <sz val="8"/>
            <color indexed="81"/>
            <rFont val="Arial"/>
            <family val="2"/>
          </rPr>
          <t xml:space="preserve"> define the ratios (e.g., "this ratio indicates the extent of financial leverage included in the company's capital structure").
Do </t>
        </r>
        <r>
          <rPr>
            <b/>
            <u/>
            <sz val="8"/>
            <color indexed="81"/>
            <rFont val="Arial"/>
            <family val="2"/>
          </rPr>
          <t>not</t>
        </r>
        <r>
          <rPr>
            <sz val="8"/>
            <color indexed="81"/>
            <rFont val="Arial"/>
            <family val="2"/>
          </rPr>
          <t xml:space="preserve"> </t>
        </r>
        <r>
          <rPr>
            <i/>
            <sz val="8"/>
            <color indexed="81"/>
            <rFont val="Arial"/>
            <family val="2"/>
          </rPr>
          <t>only</t>
        </r>
        <r>
          <rPr>
            <sz val="8"/>
            <color indexed="81"/>
            <rFont val="Arial"/>
            <family val="2"/>
          </rPr>
          <t xml:space="preserve"> "state the obvious" (e.g., "the ratio's trend is favorable").
– </t>
        </r>
        <r>
          <rPr>
            <b/>
            <sz val="8"/>
            <color indexed="81"/>
            <rFont val="Arial"/>
            <family val="2"/>
          </rPr>
          <t>Write in clear and complete sentences (subject, verb, punctuation, etc).
– Spell-check your comments.  
– Comments must fit within the space provided, without widening columns, increasing row heights, or other format changes</t>
        </r>
        <r>
          <rPr>
            <sz val="8"/>
            <color indexed="81"/>
            <rFont val="Arial"/>
            <family val="2"/>
          </rPr>
          <t xml:space="preserve">.
</t>
        </r>
        <r>
          <rPr>
            <u/>
            <sz val="8"/>
            <color indexed="81"/>
            <rFont val="Arial"/>
            <family val="2"/>
          </rPr>
          <t>All cells in this workbook tab are already properly formatted for correct and professional-looking display of ratios and FS amounts</t>
        </r>
        <r>
          <rPr>
            <sz val="8"/>
            <color indexed="81"/>
            <rFont val="Arial"/>
            <family val="2"/>
          </rPr>
          <t>.
(Scroll to the bottom of the worksheet to view the assignment grading rubric.)</t>
        </r>
      </text>
    </comment>
    <comment ref="A147" authorId="0" shapeId="0">
      <text>
        <r>
          <rPr>
            <sz val="8"/>
            <color indexed="81"/>
            <rFont val="Arial"/>
            <family val="2"/>
          </rPr>
          <t>This "check figure" should be zero.  If not, locate and correct the error(s)</t>
        </r>
      </text>
    </comment>
    <comment ref="A150" authorId="0" shapeId="0">
      <text>
        <r>
          <rPr>
            <sz val="8"/>
            <color indexed="81"/>
            <rFont val="Arial"/>
            <family val="2"/>
          </rPr>
          <t>Refer to "Financial Ratios" workbook tab for financial statements elements used in computing these "operating performance" ratios</t>
        </r>
      </text>
    </comment>
    <comment ref="A158" authorId="0" shapeId="0">
      <text>
        <r>
          <rPr>
            <sz val="8"/>
            <color indexed="81"/>
            <rFont val="Arial"/>
            <family val="2"/>
          </rPr>
          <t>Refer to "Financial Ratios" workbook tab for financial statements elements used in computing these "asset utilization" ratios</t>
        </r>
      </text>
    </comment>
    <comment ref="A189" authorId="0" shapeId="0">
      <text>
        <r>
          <rPr>
            <b/>
            <sz val="9"/>
            <color indexed="81"/>
            <rFont val="Arial"/>
            <family val="2"/>
          </rPr>
          <t>Input all dollar amounts in MILLIONS, NOT thousands</t>
        </r>
      </text>
    </comment>
    <comment ref="A198" authorId="0" shapeId="0">
      <text>
        <r>
          <rPr>
            <sz val="8"/>
            <color indexed="81"/>
            <rFont val="Arial"/>
            <family val="2"/>
          </rPr>
          <t xml:space="preserve">Estimate a "normal" current ratio for the company based on analysis its historical trend, above. </t>
        </r>
        <r>
          <rPr>
            <sz val="8"/>
            <color indexed="10"/>
            <rFont val="Arial"/>
            <family val="2"/>
          </rPr>
          <t xml:space="preserve"> (Hide this comment before copying-and-pasting an "image" of this worksheet into the final report.)</t>
        </r>
      </text>
    </comment>
  </commentList>
</comments>
</file>

<file path=xl/comments24.xml><?xml version="1.0" encoding="utf-8"?>
<comments xmlns="http://schemas.openxmlformats.org/spreadsheetml/2006/main">
  <authors>
    <author>Ronald E. Neufeld</author>
  </authors>
  <commentList>
    <comment ref="A6" authorId="0" shapeId="0">
      <text>
        <r>
          <rPr>
            <sz val="8"/>
            <color indexed="81"/>
            <rFont val="Arial"/>
            <family val="2"/>
          </rPr>
          <t xml:space="preserve">The MBA F601 Topic 9 Background Paper, </t>
        </r>
        <r>
          <rPr>
            <i/>
            <sz val="8"/>
            <color indexed="81"/>
            <rFont val="Arial"/>
            <family val="2"/>
          </rPr>
          <t>Projected Financial Statements and Financing Requirements</t>
        </r>
        <r>
          <rPr>
            <sz val="8"/>
            <color indexed="81"/>
            <rFont val="Arial"/>
            <family val="2"/>
          </rPr>
          <t xml:space="preserve">, describes and illustrates the process for preparing projected FS used in this workbook tab, beginning with financial driver assumptions, followed by a projected IS, then a projected BS, and finally a projected SCF.  </t>
        </r>
        <r>
          <rPr>
            <u/>
            <sz val="8"/>
            <color indexed="81"/>
            <rFont val="Arial"/>
            <family val="2"/>
          </rPr>
          <t>Do NOT modify the formatting in this template</t>
        </r>
        <r>
          <rPr>
            <sz val="8"/>
            <color indexed="81"/>
            <rFont val="Arial"/>
            <family val="2"/>
          </rPr>
          <t xml:space="preserve"> (to ensure a professional-looking presentation).  Use care not to unintentionally overwrite formulas in this worksheet tab.  Paste picture images of the financial driver assumptions, projected BS, projected IS, and projected SCF in Section 4 of the report.</t>
        </r>
      </text>
    </comment>
    <comment ref="A8" authorId="0" shapeId="0">
      <text>
        <r>
          <rPr>
            <sz val="8"/>
            <color indexed="81"/>
            <rFont val="Arial"/>
            <family val="2"/>
          </rPr>
          <t>Historical values computed from historical FS (after analysis adjustments)</t>
        </r>
      </text>
    </comment>
    <comment ref="A9" authorId="0" shapeId="0">
      <text>
        <r>
          <rPr>
            <b/>
            <sz val="9"/>
            <color indexed="81"/>
            <rFont val="Arial"/>
            <family val="2"/>
          </rPr>
          <t>Input all dollar amounts in MILLIONS, NOT thousands</t>
        </r>
      </text>
    </comment>
    <comment ref="G11" authorId="0" shapeId="0">
      <text>
        <r>
          <rPr>
            <b/>
            <sz val="8"/>
            <color indexed="32"/>
            <rFont val="Arial"/>
            <family val="2"/>
          </rPr>
          <t>Complete blue shaded cells in this workbook tab</t>
        </r>
        <r>
          <rPr>
            <sz val="8"/>
            <color indexed="81"/>
            <rFont val="Arial"/>
            <family val="2"/>
          </rPr>
          <t xml:space="preserve">.  </t>
        </r>
        <r>
          <rPr>
            <i/>
            <sz val="8"/>
            <color indexed="81"/>
            <rFont val="Arial"/>
            <family val="2"/>
          </rPr>
          <t>Amounts currently included in those cells are illustrative only</t>
        </r>
        <r>
          <rPr>
            <sz val="8"/>
            <color indexed="81"/>
            <rFont val="Arial"/>
            <family val="2"/>
          </rPr>
          <t>.</t>
        </r>
      </text>
    </comment>
    <comment ref="G20" authorId="0" shapeId="0">
      <text>
        <r>
          <rPr>
            <sz val="8"/>
            <color indexed="81"/>
            <rFont val="Arial"/>
            <family val="2"/>
          </rPr>
          <t xml:space="preserve">Note that projected retained earnings (in projected BS) depends in part on projected income (from projected IS), which is net of interest expense on borrowings.  And, projected total liabilities (including borrowings) depends on projected "levered" total CE (including retained earnings).  However, projected income depends in part on projected interest expense, </t>
        </r>
        <r>
          <rPr>
            <i/>
            <sz val="8"/>
            <color indexed="81"/>
            <rFont val="Arial"/>
            <family val="2"/>
          </rPr>
          <t>which in turn depends on</t>
        </r>
        <r>
          <rPr>
            <sz val="8"/>
            <color indexed="81"/>
            <rFont val="Arial"/>
            <family val="2"/>
          </rPr>
          <t xml:space="preserve"> projected borrowings (in the projected BS.)
(Scroll to the bottom of the worksheet to view the assignment grading rubric.)</t>
        </r>
      </text>
    </comment>
    <comment ref="A42" authorId="0" shapeId="0">
      <text>
        <r>
          <rPr>
            <b/>
            <sz val="9"/>
            <color indexed="81"/>
            <rFont val="Arial"/>
            <family val="2"/>
          </rPr>
          <t>Input all dollar amounts in MILLIONS, NOT thousands</t>
        </r>
      </text>
    </comment>
    <comment ref="A74" authorId="0" shapeId="0">
      <text>
        <r>
          <rPr>
            <b/>
            <sz val="9"/>
            <color indexed="81"/>
            <rFont val="Arial"/>
            <family val="2"/>
          </rPr>
          <t>Input all dollar amounts in MILLIONS, NOT thousands</t>
        </r>
      </text>
    </comment>
    <comment ref="A115" authorId="0" shapeId="0">
      <text>
        <r>
          <rPr>
            <b/>
            <sz val="9"/>
            <color indexed="81"/>
            <rFont val="Arial"/>
            <family val="2"/>
          </rPr>
          <t>Input all dollar amounts in MILLIONS, NOT thousands</t>
        </r>
      </text>
    </comment>
    <comment ref="A126" authorId="0" shapeId="0">
      <text>
        <r>
          <rPr>
            <sz val="8"/>
            <color indexed="81"/>
            <rFont val="Arial"/>
            <family val="2"/>
          </rPr>
          <t xml:space="preserve">Review the formulas in the CapEx (capital expenditures) row (for all FYs) to ensure they accurately include those items comprising the company's CapEx, as defined and discussed in the A602 Learning Topic 5 Background Paper (pages 10 - 11).  Modify these formulas (and the formulas for the "net decr (incr) in all other noncurrent assets" row) as necessary, to ensure this is the case. </t>
        </r>
        <r>
          <rPr>
            <sz val="8"/>
            <color indexed="10"/>
            <rFont val="Arial"/>
            <family val="2"/>
          </rPr>
          <t xml:space="preserve"> (Hide this comment before copying-and-pasting an "image" of this worksheet into the final report.)</t>
        </r>
      </text>
    </comment>
    <comment ref="A145" authorId="0" shapeId="0">
      <text>
        <r>
          <rPr>
            <b/>
            <sz val="9"/>
            <color indexed="81"/>
            <rFont val="Arial"/>
            <family val="2"/>
          </rPr>
          <t>Input all dollar amounts in MILLIONS, NOT thousands</t>
        </r>
      </text>
    </comment>
  </commentList>
</comments>
</file>

<file path=xl/comments25.xml><?xml version="1.0" encoding="utf-8"?>
<comments xmlns="http://schemas.openxmlformats.org/spreadsheetml/2006/main">
  <authors>
    <author>Ronald E. Neufeld</author>
  </authors>
  <commentList>
    <comment ref="A2" authorId="0" shapeId="0">
      <text>
        <r>
          <rPr>
            <sz val="8"/>
            <color indexed="81"/>
            <rFont val="Arial"/>
            <family val="2"/>
          </rPr>
          <t xml:space="preserve">Use this worksheet tab to document your supporting analysis and computations for projected sales, included in the preceding worksheet tab, "Projected FS."  The A602 Learning Topic 8 Background Paper, page 10, and the MBA F601 Topic 9 Background Paper, </t>
        </r>
        <r>
          <rPr>
            <i/>
            <sz val="8"/>
            <color indexed="81"/>
            <rFont val="Arial"/>
            <family val="2"/>
          </rPr>
          <t>Projected Financial Statements and Financing Requirements</t>
        </r>
        <r>
          <rPr>
            <sz val="8"/>
            <color indexed="81"/>
            <rFont val="Arial"/>
            <family val="2"/>
          </rPr>
          <t>, pages 4-5, list approaches and factors to consider in preparing sales projections.  Base projected sales on the analysis of company’s industry, competition and strategy, including performance drivers" (Report Section 2).
(Scroll to the bottom of the worksheet to view the assignment grading rubric.)</t>
        </r>
      </text>
    </comment>
    <comment ref="A4" authorId="0" shapeId="0">
      <text>
        <r>
          <rPr>
            <b/>
            <sz val="9"/>
            <color indexed="81"/>
            <rFont val="Arial"/>
            <family val="2"/>
          </rPr>
          <t>Input all dollar amounts in MILLIONS, NOT thousands</t>
        </r>
      </text>
    </comment>
    <comment ref="D6" authorId="0" shapeId="0">
      <text>
        <r>
          <rPr>
            <sz val="8"/>
            <color indexed="81"/>
            <rFont val="Arial"/>
            <family val="2"/>
          </rPr>
          <t>This model is a common method for developing an expected value (e.g., projected sales) using multiple approaches and applying subjectively determined confidence weightings to the results of each approach in order to determine an overall, confidence-weighted estimate.  The analyst determines in her or his judgment whether this model is useful and appropriate in the particular circumstances.
In the context of the group project, teams prepare sales projections, including these confidence weightings, based on collaborative discussion among team members.</t>
        </r>
      </text>
    </comment>
    <comment ref="K13" authorId="0" shapeId="0">
      <text>
        <r>
          <rPr>
            <sz val="8"/>
            <color indexed="81"/>
            <rFont val="Arial"/>
            <family val="2"/>
          </rPr>
          <t xml:space="preserve">The A602 Learning Topic 2 Background Paper, </t>
        </r>
        <r>
          <rPr>
            <i/>
            <sz val="8"/>
            <color indexed="81"/>
            <rFont val="Arial"/>
            <family val="2"/>
          </rPr>
          <t>External User Analysis of Publicly Available Information and Financial Ratio Analysis</t>
        </r>
        <r>
          <rPr>
            <sz val="8"/>
            <color indexed="81"/>
            <rFont val="Arial"/>
            <family val="2"/>
          </rPr>
          <t>, page 11, explains CAGRs (compound average growth rates) and illustrates their calculation.</t>
        </r>
      </text>
    </comment>
  </commentList>
</comments>
</file>

<file path=xl/comments26.xml><?xml version="1.0" encoding="utf-8"?>
<comments xmlns="http://schemas.openxmlformats.org/spreadsheetml/2006/main">
  <authors>
    <author>Ronald E. Neufeld</author>
  </authors>
  <commentList>
    <comment ref="A5" authorId="0" shapeId="0">
      <text>
        <r>
          <rPr>
            <sz val="8"/>
            <color indexed="81"/>
            <rFont val="Arial"/>
            <family val="2"/>
          </rPr>
          <t xml:space="preserve">The A602 Learning Topic 8 Background Paper, pages 7-22, explains the theory and application of the RI model.  </t>
        </r>
        <r>
          <rPr>
            <u/>
            <sz val="8"/>
            <color indexed="81"/>
            <rFont val="Arial"/>
            <family val="2"/>
          </rPr>
          <t>Do NOT modify the formatting in this template</t>
        </r>
        <r>
          <rPr>
            <sz val="8"/>
            <color indexed="81"/>
            <rFont val="Arial"/>
            <family val="2"/>
          </rPr>
          <t xml:space="preserve"> (to ensure a professional-looking presentation).  Use care not to unintentionally overwrite formulas in this worksheet tab.  Paste a picture image of this schedule in Section 6 of the report.  (Scroll to the bottom of the worksheet to view the assignment grading rubric.)</t>
        </r>
      </text>
    </comment>
    <comment ref="B10" authorId="0" shapeId="0">
      <text>
        <r>
          <rPr>
            <b/>
            <sz val="8"/>
            <color indexed="10"/>
            <rFont val="Arial"/>
            <family val="2"/>
          </rPr>
          <t>Hide</t>
        </r>
        <r>
          <rPr>
            <sz val="8"/>
            <color indexed="10"/>
            <rFont val="Arial"/>
            <family val="2"/>
          </rPr>
          <t xml:space="preserve"> Column B (containing the sixth preceding FY's information) before copying-and-pasting an "image" of this worksheet into Section 6 of the report. </t>
        </r>
      </text>
    </comment>
    <comment ref="H11" authorId="0" shapeId="0">
      <text>
        <r>
          <rPr>
            <sz val="8"/>
            <color indexed="81"/>
            <rFont val="Arial"/>
            <family val="2"/>
          </rPr>
          <t xml:space="preserve">As discussed in the A602 Learning Topic 8 Background Paper, if you expect the company to experience </t>
        </r>
        <r>
          <rPr>
            <i/>
            <sz val="8"/>
            <color indexed="81"/>
            <rFont val="Arial"/>
            <family val="2"/>
          </rPr>
          <t>more than five</t>
        </r>
        <r>
          <rPr>
            <sz val="8"/>
            <color indexed="81"/>
            <rFont val="Arial"/>
            <family val="2"/>
          </rPr>
          <t xml:space="preserve"> FYs of changing growth rates or other financial drivers before reaching the long-run average driver values in the "Terminal" period, insert additional columns between the projected fifth FY and "Terminal" columns for this purpose.  Do NOT extend the number of projected FYs to more than 10 (in addition to the "Terminal" period).  Copy the ENTIRE Column L (projected FY 5) and paste it into the inserted additional columns (FY6, FY7, etc.) to ensure formulas are properly included.  </t>
        </r>
        <r>
          <rPr>
            <sz val="8"/>
            <color indexed="10"/>
            <rFont val="Arial"/>
            <family val="2"/>
          </rPr>
          <t>(Hide this comment before copying-and-pasting an "image" of this worksheet into the final report.)</t>
        </r>
      </text>
    </comment>
    <comment ref="N12" authorId="0" shapeId="0">
      <text>
        <r>
          <rPr>
            <u/>
            <sz val="8"/>
            <color indexed="10"/>
            <rFont val="Arial"/>
            <family val="2"/>
          </rPr>
          <t>Caution</t>
        </r>
        <r>
          <rPr>
            <sz val="8"/>
            <color indexed="81"/>
            <rFont val="Arial"/>
            <family val="2"/>
          </rPr>
          <t xml:space="preserve">: Historical </t>
        </r>
        <r>
          <rPr>
            <i/>
            <sz val="8"/>
            <color indexed="81"/>
            <rFont val="Arial"/>
            <family val="2"/>
          </rPr>
          <t>average</t>
        </r>
        <r>
          <rPr>
            <sz val="8"/>
            <color indexed="81"/>
            <rFont val="Arial"/>
            <family val="2"/>
          </rPr>
          <t xml:space="preserve"> data is NOT NECESSARILY useful for projection purposes.  Groups should </t>
        </r>
        <r>
          <rPr>
            <u/>
            <sz val="8"/>
            <color indexed="81"/>
            <rFont val="Arial"/>
            <family val="2"/>
          </rPr>
          <t>rely primarily on</t>
        </r>
        <r>
          <rPr>
            <sz val="8"/>
            <color indexed="81"/>
            <rFont val="Arial"/>
            <family val="2"/>
          </rPr>
          <t xml:space="preserve"> their </t>
        </r>
        <r>
          <rPr>
            <i/>
            <sz val="8"/>
            <color indexed="81"/>
            <rFont val="Arial"/>
            <family val="2"/>
          </rPr>
          <t>(i)</t>
        </r>
        <r>
          <rPr>
            <sz val="8"/>
            <color indexed="81"/>
            <rFont val="Arial"/>
            <family val="2"/>
          </rPr>
          <t xml:space="preserve"> analyses of the company's industry, competitive position, strategy, and factors driving the company's sales and income growth (Report Section 2) </t>
        </r>
        <r>
          <rPr>
            <u/>
            <sz val="8"/>
            <color indexed="81"/>
            <rFont val="Arial"/>
            <family val="2"/>
          </rPr>
          <t>and</t>
        </r>
        <r>
          <rPr>
            <i/>
            <sz val="8"/>
            <color indexed="81"/>
            <rFont val="Arial"/>
            <family val="2"/>
          </rPr>
          <t xml:space="preserve"> (ii) </t>
        </r>
        <r>
          <rPr>
            <sz val="8"/>
            <color indexed="81"/>
            <rFont val="Arial"/>
            <family val="2"/>
          </rPr>
          <t>projected financial statements of company (Report Section 4).
Do NOT include this column in report "image."</t>
        </r>
      </text>
    </comment>
    <comment ref="M13" authorId="0" shapeId="0">
      <text>
        <r>
          <rPr>
            <sz val="8"/>
            <color indexed="81"/>
            <rFont val="Arial"/>
            <family val="2"/>
          </rPr>
          <t xml:space="preserve">Complete </t>
        </r>
        <r>
          <rPr>
            <b/>
            <sz val="8"/>
            <color indexed="32"/>
            <rFont val="Arial"/>
            <family val="2"/>
          </rPr>
          <t>blue shaded cells</t>
        </r>
        <r>
          <rPr>
            <sz val="8"/>
            <color indexed="81"/>
            <rFont val="Arial"/>
            <family val="2"/>
          </rPr>
          <t xml:space="preserve"> in this workbook tab.  </t>
        </r>
        <r>
          <rPr>
            <i/>
            <sz val="8"/>
            <color indexed="81"/>
            <rFont val="Arial"/>
            <family val="2"/>
          </rPr>
          <t>Amounts currently  in those cells are illustrative only.</t>
        </r>
        <r>
          <rPr>
            <sz val="8"/>
            <color indexed="81"/>
            <rFont val="Arial"/>
            <family val="2"/>
          </rPr>
          <t xml:space="preserve">
</t>
        </r>
        <r>
          <rPr>
            <sz val="8"/>
            <color indexed="10"/>
            <rFont val="Arial"/>
            <family val="2"/>
          </rPr>
          <t>Use care not to overwrite formulas provided to assist with completing this analysis.</t>
        </r>
      </text>
    </comment>
    <comment ref="F18" authorId="0" shapeId="0">
      <text>
        <r>
          <rPr>
            <sz val="8"/>
            <color indexed="81"/>
            <rFont val="Arial"/>
            <family val="2"/>
          </rPr>
          <t xml:space="preserve">Obtain β (beta) for the company's stock at </t>
        </r>
        <r>
          <rPr>
            <u/>
            <sz val="8"/>
            <color indexed="32"/>
            <rFont val="Arial"/>
            <family val="2"/>
          </rPr>
          <t>finance.yahoo.com</t>
        </r>
        <r>
          <rPr>
            <sz val="8"/>
            <color indexed="81"/>
            <rFont val="Arial"/>
            <family val="2"/>
          </rPr>
          <t xml:space="preserve"> or another financial website. </t>
        </r>
        <r>
          <rPr>
            <sz val="8"/>
            <color indexed="10"/>
            <rFont val="Arial"/>
            <family val="2"/>
          </rPr>
          <t xml:space="preserve"> (Hide this comment before copying-and-pasting an "image" of this worksheet into the final report.)</t>
        </r>
      </text>
    </comment>
    <comment ref="H31" authorId="0" shapeId="0">
      <text>
        <r>
          <rPr>
            <sz val="8"/>
            <color indexed="81"/>
            <rFont val="Arial"/>
            <family val="2"/>
          </rPr>
          <t xml:space="preserve">Do resulting </t>
        </r>
        <r>
          <rPr>
            <b/>
            <sz val="8"/>
            <color indexed="81"/>
            <rFont val="Arial"/>
            <family val="2"/>
          </rPr>
          <t>ROCE</t>
        </r>
        <r>
          <rPr>
            <sz val="8"/>
            <color indexed="81"/>
            <rFont val="Arial"/>
            <family val="2"/>
          </rPr>
          <t xml:space="preserve"> ratios for </t>
        </r>
        <r>
          <rPr>
            <i/>
            <sz val="8"/>
            <color indexed="81"/>
            <rFont val="Arial"/>
            <family val="2"/>
          </rPr>
          <t>projected</t>
        </r>
        <r>
          <rPr>
            <sz val="8"/>
            <color indexed="81"/>
            <rFont val="Arial"/>
            <family val="2"/>
          </rPr>
          <t xml:space="preserve"> FYs equal or exceed </t>
        </r>
        <r>
          <rPr>
            <b/>
            <i/>
            <sz val="8"/>
            <color indexed="81"/>
            <rFont val="Arial"/>
            <family val="2"/>
          </rPr>
          <t>r</t>
        </r>
        <r>
          <rPr>
            <b/>
            <vertAlign val="subscript"/>
            <sz val="9"/>
            <color indexed="81"/>
            <rFont val="Arial"/>
            <family val="2"/>
          </rPr>
          <t>E</t>
        </r>
        <r>
          <rPr>
            <sz val="8"/>
            <color indexed="81"/>
            <rFont val="Arial"/>
            <family val="2"/>
          </rPr>
          <t xml:space="preserve">?  If not, you're projecting diminution (destruction) of CE value.  Be sure that is consistent with your analysis of the company's industry, competitive position, and strategy! </t>
        </r>
        <r>
          <rPr>
            <sz val="8"/>
            <color indexed="10"/>
            <rFont val="Arial"/>
            <family val="2"/>
          </rPr>
          <t>(</t>
        </r>
        <r>
          <rPr>
            <b/>
            <sz val="8"/>
            <color indexed="10"/>
            <rFont val="Arial"/>
            <family val="2"/>
          </rPr>
          <t>Hide</t>
        </r>
        <r>
          <rPr>
            <sz val="8"/>
            <color indexed="10"/>
            <rFont val="Arial"/>
            <family val="2"/>
          </rPr>
          <t xml:space="preserve"> this comment before copying-and-pasting an "image" of this worksheet into the final report.)</t>
        </r>
      </text>
    </comment>
    <comment ref="H43" authorId="0" shapeId="0">
      <text>
        <r>
          <rPr>
            <sz val="8"/>
            <color indexed="81"/>
            <rFont val="Arial"/>
            <family val="2"/>
          </rPr>
          <t xml:space="preserve">If you inserted additional columns in order to include projections for additional future years, in the formula used here to compute the "Terminal value of RI," change the last cell reference included in the formula from ". . . ^L34" to the number of the final projected FY included in your modified worksheet. </t>
        </r>
        <r>
          <rPr>
            <sz val="8"/>
            <color indexed="10"/>
            <rFont val="Arial"/>
            <family val="2"/>
          </rPr>
          <t xml:space="preserve"> (</t>
        </r>
        <r>
          <rPr>
            <b/>
            <sz val="8"/>
            <color indexed="10"/>
            <rFont val="Arial"/>
            <family val="2"/>
          </rPr>
          <t>Hide</t>
        </r>
        <r>
          <rPr>
            <sz val="8"/>
            <color indexed="10"/>
            <rFont val="Arial"/>
            <family val="2"/>
          </rPr>
          <t xml:space="preserve"> this comment before copying-and-pasting an "image" of this worksheet into the final report.)</t>
        </r>
      </text>
    </comment>
    <comment ref="H46" authorId="0" shapeId="0">
      <text>
        <r>
          <rPr>
            <sz val="8"/>
            <color indexed="81"/>
            <rFont val="Arial"/>
            <family val="2"/>
          </rPr>
          <t xml:space="preserve">This is the number of outstanding shares of the company's common stock as of its most recent FYE.  </t>
        </r>
        <r>
          <rPr>
            <sz val="8"/>
            <color indexed="10"/>
            <rFont val="Arial"/>
            <family val="2"/>
          </rPr>
          <t>(</t>
        </r>
        <r>
          <rPr>
            <b/>
            <sz val="8"/>
            <color indexed="10"/>
            <rFont val="Arial"/>
            <family val="2"/>
          </rPr>
          <t>Hide</t>
        </r>
        <r>
          <rPr>
            <sz val="8"/>
            <color indexed="10"/>
            <rFont val="Arial"/>
            <family val="2"/>
          </rPr>
          <t xml:space="preserve"> this comment before copying-and-pasting an "image" of this worksheet into the final report.)</t>
        </r>
      </text>
    </comment>
  </commentList>
</comments>
</file>

<file path=xl/comments27.xml><?xml version="1.0" encoding="utf-8"?>
<comments xmlns="http://schemas.openxmlformats.org/spreadsheetml/2006/main">
  <authors>
    <author>Ronald E. Neufeld</author>
  </authors>
  <commentList>
    <comment ref="A4" authorId="0" shapeId="0">
      <text>
        <r>
          <rPr>
            <sz val="8"/>
            <color indexed="81"/>
            <rFont val="Arial"/>
            <family val="2"/>
          </rPr>
          <t>The A602 Learning Topic 8 Background Paper, pages 14-17, discusses and illustrates the method  for estimating a company's long-run average combined effective tax rate,</t>
        </r>
        <r>
          <rPr>
            <b/>
            <i/>
            <sz val="8"/>
            <color indexed="81"/>
            <rFont val="Arial"/>
            <family val="2"/>
          </rPr>
          <t xml:space="preserve"> t</t>
        </r>
        <r>
          <rPr>
            <sz val="8"/>
            <color indexed="81"/>
            <rFont val="Arial"/>
            <family val="2"/>
          </rPr>
          <t>, a "financial driver" used in completing the "Projected FS" and "RI Model" worksheet tabs.  Use care not to unintentionally overwrite formulas in this worksheet tab.  (Scroll to the bottom of the worksheet to view the assignment grading rubric.)</t>
        </r>
      </text>
    </comment>
    <comment ref="A11" authorId="0" shapeId="0">
      <text>
        <r>
          <rPr>
            <sz val="8"/>
            <color indexed="81"/>
            <rFont val="Arial"/>
            <family val="2"/>
          </rPr>
          <t>Labels (kinds of reconciling items) and their amounts included in this workbook template are illustrative only. Modify the this table based on the company's "expected-to-actual tax" reconciliation FN disclosures</t>
        </r>
      </text>
    </comment>
    <comment ref="J15" authorId="0" shapeId="0">
      <text>
        <r>
          <rPr>
            <sz val="8"/>
            <color indexed="81"/>
            <rFont val="Arial"/>
            <family val="2"/>
          </rPr>
          <t>Refer to "Note on Tax Accounting for Impairment of Intangible Assets Acquired in Stock Acquisitions and Asset Acquisitions" in the A602 Learning Topic 4 Background Paper, page 70.</t>
        </r>
      </text>
    </comment>
    <comment ref="A38" authorId="0" shapeId="0">
      <text>
        <r>
          <rPr>
            <sz val="8"/>
            <color indexed="81"/>
            <rFont val="Arial"/>
            <family val="2"/>
          </rPr>
          <t>Labels (kinds of reconciling items) and their amounts included in this workbook template are illustrative only. Modify the this table based on the company's "expected-to-actual tax" reconciliation FN disclosures</t>
        </r>
      </text>
    </comment>
    <comment ref="J55" authorId="0" shapeId="0">
      <text>
        <r>
          <rPr>
            <sz val="8"/>
            <color indexed="81"/>
            <rFont val="Arial"/>
            <family val="2"/>
          </rPr>
          <t>Refer to "Note on Tax Accounting for Impairment of Intangible Assets Acquired in Stock Acquisitions and Asset Acquisitions" in the A602 Learning Topic 4 Background Paper, page 70.</t>
        </r>
      </text>
    </comment>
  </commentList>
</comments>
</file>

<file path=xl/comments28.xml><?xml version="1.0" encoding="utf-8"?>
<comments xmlns="http://schemas.openxmlformats.org/spreadsheetml/2006/main">
  <authors>
    <author>Ronald E. Neufeld</author>
  </authors>
  <commentList>
    <comment ref="H5" authorId="0" shapeId="0">
      <text>
        <r>
          <rPr>
            <sz val="8"/>
            <color indexed="81"/>
            <rFont val="Arial"/>
            <family val="2"/>
          </rPr>
          <t>The Company's "industry group" includes the Company, its Key Competitor, and three to five additional firms, as determined by the group for purposes of the Group Project.</t>
        </r>
      </text>
    </comment>
    <comment ref="A12" authorId="0" shapeId="0">
      <text>
        <r>
          <rPr>
            <sz val="8"/>
            <color indexed="81"/>
            <rFont val="Arial"/>
            <family val="2"/>
          </rPr>
          <t xml:space="preserve">For all companies included in this analysis, determine the market cap (and per-share trading price) as the </t>
        </r>
        <r>
          <rPr>
            <u/>
            <sz val="8"/>
            <color indexed="81"/>
            <rFont val="Arial"/>
            <family val="2"/>
          </rPr>
          <t>average closing price during the week immediately following</t>
        </r>
        <r>
          <rPr>
            <sz val="8"/>
            <color indexed="81"/>
            <rFont val="Arial"/>
            <family val="2"/>
          </rPr>
          <t xml:space="preserve"> the release of 4Q earnings by YOUR GROUP's company for its most recently reported FY. ("Reported" means an Annual Report on Form 10-K is available.)
</t>
        </r>
        <r>
          <rPr>
            <i/>
            <sz val="8"/>
            <color indexed="81"/>
            <rFont val="Arial"/>
            <family val="2"/>
          </rPr>
          <t>To illustrate</t>
        </r>
        <r>
          <rPr>
            <sz val="8"/>
            <color indexed="81"/>
            <rFont val="Arial"/>
            <family val="2"/>
          </rPr>
          <t xml:space="preserve">, if the most recently completed FY of YOUR GROUP's Company is December 31, 20X4, and the Company released 4QX4 earnings on January 20, 20X5, to compute the market cap of the Company, </t>
        </r>
        <r>
          <rPr>
            <u/>
            <sz val="8"/>
            <color indexed="81"/>
            <rFont val="Arial"/>
            <family val="2"/>
          </rPr>
          <t>its Key Competitor, and all other industry firms included in this analysis</t>
        </r>
        <r>
          <rPr>
            <sz val="8"/>
            <color indexed="81"/>
            <rFont val="Arial"/>
            <family val="2"/>
          </rPr>
          <t>, use their respective average closing prices during the 5-business day period immediately following January 20, 20X5.</t>
        </r>
      </text>
    </comment>
  </commentList>
</comments>
</file>

<file path=xl/comments29.xml><?xml version="1.0" encoding="utf-8"?>
<comments xmlns="http://schemas.openxmlformats.org/spreadsheetml/2006/main">
  <authors>
    <author>Ronald E. Neufeld</author>
  </authors>
  <commentList>
    <comment ref="A6" authorId="0" shapeId="0">
      <text>
        <r>
          <rPr>
            <sz val="8"/>
            <color indexed="81"/>
            <rFont val="Arial"/>
            <family val="2"/>
          </rPr>
          <t xml:space="preserve">This worksheet is ALL FORMULAS; YOU DO </t>
        </r>
        <r>
          <rPr>
            <u/>
            <sz val="8"/>
            <color indexed="81"/>
            <rFont val="Arial"/>
            <family val="2"/>
          </rPr>
          <t>NOT</t>
        </r>
        <r>
          <rPr>
            <sz val="8"/>
            <color indexed="81"/>
            <rFont val="Arial"/>
            <family val="2"/>
          </rPr>
          <t xml:space="preserve"> NEED TO ENTER ANY INFORMATION.  The A602 Learning Topic 7 Background Paper, pages 16-18, explains the preparation, purpose, and interpretation of E.I. Altman's Z-Score.  </t>
        </r>
        <r>
          <rPr>
            <u/>
            <sz val="8"/>
            <color indexed="81"/>
            <rFont val="Arial"/>
            <family val="2"/>
          </rPr>
          <t>Do NOT modify the formatting in this template</t>
        </r>
        <r>
          <rPr>
            <sz val="8"/>
            <color indexed="81"/>
            <rFont val="Arial"/>
            <family val="2"/>
          </rPr>
          <t xml:space="preserve"> (to ensure a professional-looking presentation).  Use care not to unintentionally overwrite formulas in this worksheet tab.  Paste-picture into report Section 7 an image of the schedule (Z-Score model) below that is appropriate to the company analyzed - the "manufacturing/merchandising model" or the "services model."</t>
        </r>
      </text>
    </comment>
    <comment ref="C13" authorId="0" shapeId="0">
      <text>
        <r>
          <rPr>
            <sz val="8"/>
            <color indexed="81"/>
            <rFont val="Arial"/>
            <family val="2"/>
          </rPr>
          <t xml:space="preserve">Consistent the methodology Altman used in developing the model, amounts of FS elements used in computing the Z-Score are </t>
        </r>
        <r>
          <rPr>
            <u/>
            <sz val="8"/>
            <color indexed="81"/>
            <rFont val="Arial"/>
            <family val="2"/>
          </rPr>
          <t>BEFORE</t>
        </r>
        <r>
          <rPr>
            <sz val="8"/>
            <color indexed="81"/>
            <rFont val="Arial"/>
            <family val="2"/>
          </rPr>
          <t xml:space="preserve"> any </t>
        </r>
        <r>
          <rPr>
            <b/>
            <sz val="8"/>
            <color indexed="81"/>
            <rFont val="Arial"/>
            <family val="2"/>
          </rPr>
          <t>analysis adjustments</t>
        </r>
        <r>
          <rPr>
            <sz val="8"/>
            <color indexed="81"/>
            <rFont val="Arial"/>
            <family val="2"/>
          </rPr>
          <t xml:space="preserve">.  </t>
        </r>
        <r>
          <rPr>
            <sz val="8"/>
            <color indexed="10"/>
            <rFont val="Arial"/>
            <family val="2"/>
          </rPr>
          <t>(Hide this comment before copying-and-pasting an "image" of this worksheet into the final report.)</t>
        </r>
      </text>
    </comment>
    <comment ref="C53" authorId="0" shapeId="0">
      <text>
        <r>
          <rPr>
            <sz val="8"/>
            <color indexed="81"/>
            <rFont val="Arial"/>
            <family val="2"/>
          </rPr>
          <t xml:space="preserve">Consistent the methodology Altman used in developing the model, amounts of FS elements used in computing the Z-Score are </t>
        </r>
        <r>
          <rPr>
            <u/>
            <sz val="8"/>
            <color indexed="81"/>
            <rFont val="Arial"/>
            <family val="2"/>
          </rPr>
          <t>BEFORE</t>
        </r>
        <r>
          <rPr>
            <sz val="8"/>
            <color indexed="81"/>
            <rFont val="Arial"/>
            <family val="2"/>
          </rPr>
          <t xml:space="preserve"> any </t>
        </r>
        <r>
          <rPr>
            <b/>
            <sz val="8"/>
            <color indexed="81"/>
            <rFont val="Arial"/>
            <family val="2"/>
          </rPr>
          <t>analysis adjustments</t>
        </r>
        <r>
          <rPr>
            <sz val="8"/>
            <color indexed="81"/>
            <rFont val="Arial"/>
            <family val="2"/>
          </rPr>
          <t xml:space="preserve">.  </t>
        </r>
        <r>
          <rPr>
            <sz val="8"/>
            <color indexed="10"/>
            <rFont val="Arial"/>
            <family val="2"/>
          </rPr>
          <t>(Hide this comment before copying-and-pasting an "image" of this worksheet into the final report.)</t>
        </r>
      </text>
    </comment>
  </commentList>
</comments>
</file>

<file path=xl/sharedStrings.xml><?xml version="1.0" encoding="utf-8"?>
<sst xmlns="http://schemas.openxmlformats.org/spreadsheetml/2006/main" count="3231" uniqueCount="1105">
  <si>
    <r>
      <t xml:space="preserve"> (C)</t>
    </r>
    <r>
      <rPr>
        <sz val="9"/>
        <color indexed="18"/>
        <rFont val="Arial"/>
        <family val="2"/>
      </rPr>
      <t xml:space="preserve"> Reverse allowance and fees related to sale of receivables (NO balance sheet adjustment required)</t>
    </r>
    <phoneticPr fontId="8" type="noConversion"/>
  </si>
  <si>
    <r>
      <t xml:space="preserve"> (C)</t>
    </r>
    <r>
      <rPr>
        <sz val="9"/>
        <color indexed="18"/>
        <rFont val="Arial"/>
        <family val="2"/>
      </rPr>
      <t xml:space="preserve"> </t>
    </r>
    <r>
      <rPr>
        <u/>
        <sz val="9"/>
        <color indexed="18"/>
        <rFont val="Arial"/>
        <family val="2"/>
      </rPr>
      <t>See</t>
    </r>
    <r>
      <rPr>
        <sz val="9"/>
        <color indexed="18"/>
        <rFont val="Arial"/>
        <family val="2"/>
      </rPr>
      <t xml:space="preserve"> income statement for adjustment to Reverse allowance and fees related to sale of receivables</t>
    </r>
    <phoneticPr fontId="8" type="noConversion"/>
  </si>
  <si>
    <t xml:space="preserve">      Cr. Taxes on income from continuing operations</t>
    <phoneticPr fontId="137" type="noConversion"/>
  </si>
  <si>
    <t>company notes this includes products and services but does not provide breakdown; 2014 &amp; 2015 include contracts for future Manhattan store</t>
    <phoneticPr fontId="137" type="noConversion"/>
  </si>
  <si>
    <t>$59 total impairment, no description provided for balance (pg 53)</t>
    <phoneticPr fontId="137" type="noConversion"/>
  </si>
  <si>
    <t>Retail store impairment (pg 45)</t>
    <phoneticPr fontId="137" type="noConversion"/>
  </si>
  <si>
    <r>
      <t xml:space="preserve"> </t>
    </r>
    <r>
      <rPr>
        <b/>
        <sz val="9"/>
        <color indexed="18"/>
        <rFont val="Arial"/>
        <family val="2"/>
      </rPr>
      <t>(D)</t>
    </r>
    <r>
      <rPr>
        <sz val="9"/>
        <color indexed="18"/>
        <rFont val="Arial"/>
        <family val="2"/>
      </rPr>
      <t xml:space="preserve"> NOT USED</t>
    </r>
    <phoneticPr fontId="8" type="noConversion"/>
  </si>
  <si>
    <r>
      <t xml:space="preserve"> </t>
    </r>
    <r>
      <rPr>
        <b/>
        <sz val="9"/>
        <color indexed="18"/>
        <rFont val="Arial"/>
        <family val="2"/>
      </rPr>
      <t>(D)</t>
    </r>
    <r>
      <rPr>
        <sz val="9"/>
        <color indexed="18"/>
        <rFont val="Arial"/>
        <family val="2"/>
      </rPr>
      <t xml:space="preserve"> NOT USED</t>
    </r>
    <phoneticPr fontId="8" type="noConversion"/>
  </si>
  <si>
    <r>
      <t xml:space="preserve"> </t>
    </r>
    <r>
      <rPr>
        <b/>
        <sz val="9"/>
        <color indexed="18"/>
        <rFont val="Arial"/>
        <family val="2"/>
      </rPr>
      <t>(F)</t>
    </r>
    <r>
      <rPr>
        <sz val="9"/>
        <color indexed="18"/>
        <rFont val="Arial"/>
        <family val="2"/>
      </rPr>
      <t xml:space="preserve"> </t>
    </r>
    <r>
      <rPr>
        <u/>
        <sz val="9"/>
        <color indexed="18"/>
        <rFont val="Arial"/>
        <family val="2"/>
      </rPr>
      <t>See</t>
    </r>
    <r>
      <rPr>
        <sz val="9"/>
        <color indexed="18"/>
        <rFont val="Arial"/>
        <family val="2"/>
      </rPr>
      <t xml:space="preserve"> income statement for adjustments to reclassify financial elements of </t>
    </r>
    <r>
      <rPr>
        <b/>
        <sz val="9"/>
        <color indexed="18"/>
        <rFont val="Arial"/>
        <family val="2"/>
      </rPr>
      <t>DB pension</t>
    </r>
    <phoneticPr fontId="8" type="noConversion"/>
  </si>
  <si>
    <r>
      <t xml:space="preserve"> </t>
    </r>
    <r>
      <rPr>
        <b/>
        <sz val="9"/>
        <color indexed="18"/>
        <rFont val="Arial"/>
        <family val="2"/>
      </rPr>
      <t>(F)</t>
    </r>
    <r>
      <rPr>
        <sz val="9"/>
        <color indexed="18"/>
        <rFont val="Arial"/>
        <family val="2"/>
      </rPr>
      <t xml:space="preserve"> Reclassify financial elements of </t>
    </r>
    <r>
      <rPr>
        <b/>
        <sz val="9"/>
        <color indexed="18"/>
        <rFont val="Arial"/>
        <family val="2"/>
      </rPr>
      <t>DB pension</t>
    </r>
    <r>
      <rPr>
        <sz val="9"/>
        <color indexed="18"/>
        <rFont val="Arial"/>
        <family val="2"/>
      </rPr>
      <t xml:space="preserve"> (NO balance sheet adjustment needed)</t>
    </r>
    <phoneticPr fontId="8" type="noConversion"/>
  </si>
  <si>
    <t>LIABILITIES &amp; STOCKHOLDERS' EQUITY</t>
  </si>
  <si>
    <t>Current Liabilities</t>
  </si>
  <si>
    <t>Cash flows from operating activities</t>
  </si>
  <si>
    <t>Cash flows from investing activities</t>
  </si>
  <si>
    <t>Capital expenditures</t>
  </si>
  <si>
    <t>Cash flows from financing activities</t>
  </si>
  <si>
    <t>Net cash used in financing activities</t>
  </si>
  <si>
    <t>Build-up of projected sales by channel</t>
  </si>
  <si>
    <t>Build-up of projected sales per-store square foot</t>
  </si>
  <si>
    <t xml:space="preserve">  Of course, you may use this cell to record your notes, but the facilitator will not grade them.)]</t>
  </si>
  <si>
    <t>See MD&amp;A decrease due to sofeter slaes trends 2nd half of year.
Inventory increase due to inventory growth planned for Nortstrom Rack and .com</t>
  </si>
  <si>
    <r>
      <rPr>
        <sz val="9"/>
        <color theme="7"/>
        <rFont val="Arial"/>
        <family val="2"/>
      </rPr>
      <t xml:space="preserve">  Purchase obligations average $1,492 for past 6 years</t>
    </r>
    <r>
      <rPr>
        <sz val="9"/>
        <color indexed="18"/>
        <rFont val="Arial"/>
        <family val="2"/>
      </rPr>
      <t xml:space="preserve">.
</t>
    </r>
    <r>
      <rPr>
        <sz val="9"/>
        <color theme="7"/>
        <rFont val="Arial"/>
        <family val="2"/>
      </rPr>
      <t>Cap Lease increase from opening stores? - Do we need to address the "other charges" listed on page 32..realestate, percentage of sales, etc?
2011 did not pay down debt as in other years.</t>
    </r>
  </si>
  <si>
    <t>Retained Earnings - Cash Dividends including the special $4.85 per share from sale of credit cards.</t>
  </si>
  <si>
    <t>Increase COS as a percent of sales - increased markdowns from lower than planed sales. p. 20</t>
  </si>
  <si>
    <t>Non-taxable acquisition-related items</t>
  </si>
  <si>
    <t>2011 appears exceptional</t>
  </si>
  <si>
    <t>Deferred tax assets related to acquisitions was reassessed</t>
  </si>
  <si>
    <t>Federal Credits</t>
  </si>
  <si>
    <t>DOES NOT APPLY TO GROUP PROJECT!</t>
  </si>
  <si>
    <r>
      <t xml:space="preserve"> </t>
    </r>
    <r>
      <rPr>
        <b/>
        <sz val="9"/>
        <color indexed="18"/>
        <rFont val="Arial"/>
        <family val="2"/>
      </rPr>
      <t>(E)</t>
    </r>
    <r>
      <rPr>
        <sz val="9"/>
        <color indexed="18"/>
        <rFont val="Arial"/>
        <family val="2"/>
      </rPr>
      <t xml:space="preserve"> See income statement for adjustment to average cost</t>
    </r>
    <r>
      <rPr>
        <b/>
        <sz val="9"/>
        <color indexed="18"/>
        <rFont val="Arial"/>
        <family val="2"/>
      </rPr>
      <t>-basis COS</t>
    </r>
    <r>
      <rPr>
        <sz val="9"/>
        <color indexed="18"/>
        <rFont val="Arial"/>
        <family val="2"/>
      </rPr>
      <t xml:space="preserve"> Inflation "holding" profits</t>
    </r>
    <phoneticPr fontId="8" type="noConversion"/>
  </si>
  <si>
    <r>
      <t xml:space="preserve"> </t>
    </r>
    <r>
      <rPr>
        <b/>
        <sz val="9"/>
        <color indexed="18"/>
        <rFont val="Arial"/>
        <family val="2"/>
      </rPr>
      <t>(E)</t>
    </r>
    <r>
      <rPr>
        <sz val="9"/>
        <color indexed="18"/>
        <rFont val="Arial"/>
        <family val="2"/>
      </rPr>
      <t xml:space="preserve"> Adjust average cost</t>
    </r>
    <r>
      <rPr>
        <b/>
        <sz val="9"/>
        <color indexed="18"/>
        <rFont val="Arial"/>
        <family val="2"/>
      </rPr>
      <t>-basis COS for "inflation (holding) profits"</t>
    </r>
    <r>
      <rPr>
        <sz val="9"/>
        <color indexed="18"/>
        <rFont val="Arial"/>
        <family val="2"/>
      </rPr>
      <t xml:space="preserve"> (NO balance sheet adjustment needed)</t>
    </r>
    <phoneticPr fontId="8" type="noConversion"/>
  </si>
  <si>
    <t>Impairment of other intangibles</t>
  </si>
  <si>
    <t>Restructuring charge</t>
  </si>
  <si>
    <t>Income from cont. oper's before taxes</t>
  </si>
  <si>
    <t>Gain (loss) on discont'd oper's, net of tax</t>
  </si>
  <si>
    <t>Disregard</t>
  </si>
  <si>
    <t>Extraordinary gain (loss), net of tax</t>
  </si>
  <si>
    <t>Before-tax amounts from above:</t>
  </si>
  <si>
    <t>Interest expense, net</t>
  </si>
  <si>
    <t>Analysis Adjustment (See explanations below)</t>
  </si>
  <si>
    <t>Income before extraordinary items</t>
  </si>
  <si>
    <t>(US dollars in millions, except per share amounts)</t>
  </si>
  <si>
    <t>LIQUIDITY</t>
  </si>
  <si>
    <t>Current liabilities</t>
  </si>
  <si>
    <t>Cash and cash equivalents</t>
  </si>
  <si>
    <t>Total</t>
  </si>
  <si>
    <t>Total liabilities</t>
  </si>
  <si>
    <t>NA</t>
  </si>
  <si>
    <t>RETURN ON INVESTMENT</t>
  </si>
  <si>
    <t>Net income</t>
  </si>
  <si>
    <t>Total assets</t>
  </si>
  <si>
    <t>OPERATING PERFORMANCE</t>
  </si>
  <si>
    <t>Gross margin</t>
  </si>
  <si>
    <t>Operating income</t>
  </si>
  <si>
    <t>Pre-tax operating margin</t>
  </si>
  <si>
    <t>ASSET UTILIZATION</t>
  </si>
  <si>
    <t>Inventory turnover</t>
  </si>
  <si>
    <t>Total asset turnover</t>
  </si>
  <si>
    <t>Dividend payout ratio</t>
  </si>
  <si>
    <t>Capital lease accounting</t>
  </si>
  <si>
    <t>Oper. lease</t>
  </si>
  <si>
    <t>A</t>
  </si>
  <si>
    <t>B</t>
  </si>
  <si>
    <t>Year</t>
  </si>
  <si>
    <t>Sales</t>
  </si>
  <si>
    <t>Gross profit</t>
  </si>
  <si>
    <t>Operating expenses</t>
  </si>
  <si>
    <t>Assets</t>
  </si>
  <si>
    <t>Total current assets</t>
  </si>
  <si>
    <t>Other current liabilities</t>
  </si>
  <si>
    <t>Total current liabilities</t>
  </si>
  <si>
    <t>Retained earnings</t>
  </si>
  <si>
    <t>Depreciation</t>
  </si>
  <si>
    <t>RNOA and ROCE Analysis</t>
  </si>
  <si>
    <t>NOA, NFO and CE Computations</t>
  </si>
  <si>
    <t>Other current assets</t>
  </si>
  <si>
    <t>NOA</t>
  </si>
  <si>
    <t>NFO</t>
  </si>
  <si>
    <t>Indirect computation</t>
  </si>
  <si>
    <t>NOA less NFO</t>
  </si>
  <si>
    <t>Direct computation</t>
  </si>
  <si>
    <t>CE</t>
  </si>
  <si>
    <t>NOPAT and NFE Computations</t>
  </si>
  <si>
    <t>Total operating expenses</t>
  </si>
  <si>
    <t>NOPAT</t>
  </si>
  <si>
    <t>Disaggregated RNOA</t>
  </si>
  <si>
    <t>Disaggregated NOA turnover ratio</t>
  </si>
  <si>
    <t>Disaggregated ROCE and Leverage Impact</t>
  </si>
  <si>
    <t>NFE</t>
  </si>
  <si>
    <t>Gain (loss) on disposal of credit card receivables</t>
    <phoneticPr fontId="8" type="noConversion"/>
  </si>
  <si>
    <t>Changes in operating working capital:</t>
  </si>
  <si>
    <t xml:space="preserve">   Inventories</t>
  </si>
  <si>
    <t>Sale of property and non-core product lines</t>
  </si>
  <si>
    <t>Principal payments on debt</t>
  </si>
  <si>
    <t>Proceeds from issuance of debt</t>
  </si>
  <si>
    <t>Purchases of treasury shares</t>
  </si>
  <si>
    <t>Supplemental cash flow information</t>
  </si>
  <si>
    <t>Income taxes paid</t>
  </si>
  <si>
    <t>Interest paid</t>
  </si>
  <si>
    <t>Operating income (above)</t>
  </si>
  <si>
    <t>Terminal</t>
  </si>
  <si>
    <t>ASSETS</t>
  </si>
  <si>
    <t>Current Assets</t>
  </si>
  <si>
    <r>
      <t xml:space="preserve"> Beginning </t>
    </r>
    <r>
      <rPr>
        <b/>
        <sz val="10"/>
        <rFont val="Arial Narrow"/>
        <family val="2"/>
      </rPr>
      <t>CE</t>
    </r>
    <r>
      <rPr>
        <sz val="9"/>
        <rFont val="Arial"/>
      </rPr>
      <t xml:space="preserve"> (above)</t>
    </r>
  </si>
  <si>
    <t xml:space="preserve"> Estimated intrinsic fair value of common equity</t>
  </si>
  <si>
    <t xml:space="preserve"> Common shares outstanding (in millions)</t>
  </si>
  <si>
    <t xml:space="preserve"> Estimated intrinsic fair value per common share</t>
  </si>
  <si>
    <r>
      <rPr>
        <b/>
        <sz val="9"/>
        <rFont val="Arial"/>
        <family val="2"/>
      </rPr>
      <t xml:space="preserve"> Note 1 </t>
    </r>
    <r>
      <rPr>
        <sz val="9"/>
        <rFont val="Arial"/>
      </rPr>
      <t xml:space="preserve">– In projected FYs, </t>
    </r>
    <r>
      <rPr>
        <b/>
        <sz val="9"/>
        <rFont val="Arial"/>
        <family val="2"/>
      </rPr>
      <t>income from continuing operations</t>
    </r>
    <r>
      <rPr>
        <sz val="9"/>
        <rFont val="Arial"/>
      </rPr>
      <t xml:space="preserve"> is </t>
    </r>
    <r>
      <rPr>
        <i/>
        <sz val="9"/>
        <rFont val="Arial"/>
        <family val="2"/>
      </rPr>
      <t>also</t>
    </r>
    <r>
      <rPr>
        <sz val="9"/>
        <rFont val="Arial"/>
      </rPr>
      <t xml:space="preserve"> projected </t>
    </r>
    <r>
      <rPr>
        <b/>
        <sz val="9"/>
        <rFont val="Arial"/>
        <family val="2"/>
      </rPr>
      <t>net income</t>
    </r>
  </si>
  <si>
    <t>Net increase in cash and cash equivalents</t>
  </si>
  <si>
    <t>FCF</t>
  </si>
  <si>
    <t>Operating leases</t>
  </si>
  <si>
    <t>MLPs</t>
  </si>
  <si>
    <t>Thereafter</t>
  </si>
  <si>
    <t>Interest</t>
  </si>
  <si>
    <t>Lease</t>
  </si>
  <si>
    <t>expense</t>
  </si>
  <si>
    <t>C</t>
  </si>
  <si>
    <t>Debit</t>
  </si>
  <si>
    <t>Credit</t>
  </si>
  <si>
    <t xml:space="preserve">-   </t>
  </si>
  <si>
    <t>Audited</t>
  </si>
  <si>
    <t>balance</t>
  </si>
  <si>
    <t>Adjusted</t>
  </si>
  <si>
    <t>AR, net</t>
  </si>
  <si>
    <t>AR, gross</t>
  </si>
  <si>
    <t>PP&amp;E, net</t>
  </si>
  <si>
    <t>PP&amp;E, at cost</t>
  </si>
  <si>
    <t>Investment securities AFS</t>
  </si>
  <si>
    <t>Less: Allowance for bad debts</t>
  </si>
  <si>
    <t>AP</t>
  </si>
  <si>
    <t>Accrued liabilities</t>
  </si>
  <si>
    <t>Income taxes payable</t>
  </si>
  <si>
    <t>Less: Treasury stock</t>
  </si>
  <si>
    <t>Additional paid-in capital (APIC)</t>
  </si>
  <si>
    <t>Premium on preferred stock</t>
  </si>
  <si>
    <t>CAPITAL STRUCTURE AND SOLVENCY</t>
  </si>
  <si>
    <t>Shareholders' Equity</t>
  </si>
  <si>
    <t>Interest expense, net of interest income</t>
  </si>
  <si>
    <t>Financial Ratio Analysis</t>
  </si>
  <si>
    <t>(U.S. dollars in millions, except per-share amounts)</t>
  </si>
  <si>
    <t>Industry average ratios</t>
  </si>
  <si>
    <t>Average daily sales (assume 360-day year)</t>
  </si>
  <si>
    <t>Average total assets</t>
  </si>
  <si>
    <t>Operating margin</t>
  </si>
  <si>
    <t>Average accounts receivable, net</t>
  </si>
  <si>
    <t>PP&amp;E, net of accumulated depreciation</t>
  </si>
  <si>
    <t>STOCK PERFORMANCE</t>
  </si>
  <si>
    <t>NA means either "not available" or "not applicable," depending on the context used.</t>
  </si>
  <si>
    <t>Financial (non-operating) assets</t>
  </si>
  <si>
    <t>Operating assets</t>
  </si>
  <si>
    <t>Operating liabilities</t>
  </si>
  <si>
    <t>Goodwill impairment from 2011 tax-free acquistion of HauteLook was non-taxable</t>
  </si>
  <si>
    <t>Non-deductable acquisition-related items</t>
  </si>
  <si>
    <t>2014 &amp; 2015 appear exceptional</t>
  </si>
  <si>
    <t>Adjusted balances (used for financial analysis)</t>
  </si>
  <si>
    <t>(A)</t>
  </si>
  <si>
    <t>(B)</t>
  </si>
  <si>
    <t>(C)</t>
  </si>
  <si>
    <t>(D)</t>
  </si>
  <si>
    <t>(E)</t>
  </si>
  <si>
    <t>(F)</t>
  </si>
  <si>
    <t>(G)</t>
  </si>
  <si>
    <t>(H)</t>
  </si>
  <si>
    <t>DIT liabilities–current</t>
  </si>
  <si>
    <t>DIT liabilities–noncurrent</t>
  </si>
  <si>
    <t>Common stock (par or stated value)</t>
  </si>
  <si>
    <t>CHECK: A – (L + E) (S/B -0-)</t>
  </si>
  <si>
    <t>Explanations for Analysis Adjustments</t>
  </si>
  <si>
    <t>Gain (loss) on spin-off of subsidiary</t>
  </si>
  <si>
    <t>Impairment loss on PP&amp;E</t>
  </si>
  <si>
    <t>Impairment loss on goodwill</t>
  </si>
  <si>
    <t>Between 1.8 and 3.0</t>
  </si>
  <si>
    <t>Not strongly suggestive of bankruptcy or survival</t>
  </si>
  <si>
    <t>Above 3.0</t>
  </si>
  <si>
    <t>Suggests a “low” probability of bankruptcy</t>
  </si>
  <si>
    <r>
      <t xml:space="preserve"> Total common shareholders’ equity-to-total liabilities ratio (the “financial structure” variable, X</t>
    </r>
    <r>
      <rPr>
        <vertAlign val="subscript"/>
        <sz val="9"/>
        <rFont val="Arial"/>
        <family val="2"/>
      </rPr>
      <t>4</t>
    </r>
    <r>
      <rPr>
        <sz val="9"/>
        <rFont val="Arial"/>
      </rPr>
      <t>)</t>
    </r>
  </si>
  <si>
    <t>Total common shareholders' equity</t>
  </si>
  <si>
    <t>Operating profit before income taxes</t>
  </si>
  <si>
    <t xml:space="preserve"> (US dollar amounts in millions)</t>
  </si>
  <si>
    <t>Unadj'd</t>
  </si>
  <si>
    <r>
      <t xml:space="preserve"> Historical FYs </t>
    </r>
    <r>
      <rPr>
        <u val="singleAccounting"/>
        <sz val="8"/>
        <color indexed="8"/>
        <rFont val="Arial"/>
        <family val="2"/>
      </rPr>
      <t>(</t>
    </r>
    <r>
      <rPr>
        <b/>
        <i/>
        <u val="singleAccounting"/>
        <sz val="8"/>
        <color indexed="8"/>
        <rFont val="Arial"/>
        <family val="2"/>
      </rPr>
      <t>After</t>
    </r>
    <r>
      <rPr>
        <u val="singleAccounting"/>
        <sz val="8"/>
        <color indexed="8"/>
        <rFont val="Arial"/>
        <family val="2"/>
      </rPr>
      <t xml:space="preserve"> </t>
    </r>
    <r>
      <rPr>
        <b/>
        <u val="singleAccounting"/>
        <sz val="8"/>
        <color indexed="8"/>
        <rFont val="Arial"/>
        <family val="2"/>
      </rPr>
      <t>Analysis Adjustments</t>
    </r>
    <r>
      <rPr>
        <u val="singleAccounting"/>
        <sz val="8"/>
        <color indexed="8"/>
        <rFont val="Arial"/>
        <family val="2"/>
      </rPr>
      <t>)</t>
    </r>
  </si>
  <si>
    <t>Projected FYs</t>
  </si>
  <si>
    <t xml:space="preserve"> Financial drivers</t>
  </si>
  <si>
    <t xml:space="preserve"> FOR REFERENCE ONLY</t>
  </si>
  <si>
    <r>
      <t xml:space="preserve"> Sales growth rate, </t>
    </r>
    <r>
      <rPr>
        <b/>
        <i/>
        <sz val="9"/>
        <rFont val="Arial"/>
        <family val="2"/>
      </rPr>
      <t>g</t>
    </r>
  </si>
  <si>
    <t xml:space="preserve"> 5-FY Sales CAGR</t>
  </si>
  <si>
    <r>
      <t xml:space="preserve"> Pre-tax profit margin ratio (</t>
    </r>
    <r>
      <rPr>
        <b/>
        <i/>
        <sz val="9"/>
        <rFont val="Arial"/>
        <family val="2"/>
      </rPr>
      <t>pre</t>
    </r>
    <r>
      <rPr>
        <i/>
        <sz val="9"/>
        <rFont val="Arial"/>
        <family val="2"/>
      </rPr>
      <t>-</t>
    </r>
    <r>
      <rPr>
        <b/>
        <i/>
        <sz val="9"/>
        <rFont val="Arial"/>
        <family val="2"/>
      </rPr>
      <t>tax margin</t>
    </r>
    <r>
      <rPr>
        <sz val="9"/>
        <rFont val="Arial"/>
      </rPr>
      <t>)</t>
    </r>
  </si>
  <si>
    <t xml:space="preserve"> 6-FY Avg pre-tax margin</t>
  </si>
  <si>
    <r>
      <t xml:space="preserve"> Combined effective income tax rate,</t>
    </r>
    <r>
      <rPr>
        <b/>
        <i/>
        <sz val="9"/>
        <rFont val="Arial"/>
        <family val="2"/>
      </rPr>
      <t xml:space="preserve"> t</t>
    </r>
  </si>
  <si>
    <t xml:space="preserve"> 6-FY Avg combined effective income tax rate</t>
  </si>
  <si>
    <r>
      <t xml:space="preserve"> Net operating asset (</t>
    </r>
    <r>
      <rPr>
        <b/>
        <sz val="10"/>
        <rFont val="Arial Narrow"/>
        <family val="2"/>
      </rPr>
      <t>NOA</t>
    </r>
    <r>
      <rPr>
        <sz val="9"/>
        <rFont val="Arial"/>
      </rPr>
      <t>) turnover ratio</t>
    </r>
  </si>
  <si>
    <t>5-FY Avg NOA turnover ratio</t>
  </si>
  <si>
    <t>5-FY Avg Leverage ratio</t>
  </si>
  <si>
    <r>
      <t xml:space="preserve"> Estimated cost of equity capital, </t>
    </r>
    <r>
      <rPr>
        <b/>
        <i/>
        <sz val="9"/>
        <rFont val="Arial"/>
        <family val="2"/>
      </rPr>
      <t>r</t>
    </r>
    <r>
      <rPr>
        <b/>
        <vertAlign val="subscript"/>
        <sz val="9"/>
        <rFont val="Arial"/>
        <family val="2"/>
      </rPr>
      <t>E</t>
    </r>
    <r>
      <rPr>
        <sz val="9"/>
        <rFont val="Arial"/>
      </rPr>
      <t xml:space="preserve"> = </t>
    </r>
    <r>
      <rPr>
        <b/>
        <i/>
        <sz val="9"/>
        <rFont val="Arial"/>
        <family val="2"/>
      </rPr>
      <t>r</t>
    </r>
    <r>
      <rPr>
        <b/>
        <vertAlign val="subscript"/>
        <sz val="9"/>
        <rFont val="Arial"/>
        <family val="2"/>
      </rPr>
      <t>F</t>
    </r>
    <r>
      <rPr>
        <vertAlign val="subscript"/>
        <sz val="9"/>
        <rFont val="Arial"/>
        <family val="2"/>
      </rPr>
      <t xml:space="preserve"> </t>
    </r>
    <r>
      <rPr>
        <sz val="9"/>
        <rFont val="Arial"/>
      </rPr>
      <t xml:space="preserve">+ </t>
    </r>
    <r>
      <rPr>
        <sz val="9"/>
        <rFont val="Arial"/>
      </rPr>
      <t>β</t>
    </r>
    <r>
      <rPr>
        <sz val="9"/>
        <rFont val="Arial"/>
      </rPr>
      <t xml:space="preserve"> (</t>
    </r>
    <r>
      <rPr>
        <b/>
        <i/>
        <sz val="9"/>
        <rFont val="Arial"/>
        <family val="2"/>
      </rPr>
      <t>r</t>
    </r>
    <r>
      <rPr>
        <b/>
        <vertAlign val="subscript"/>
        <sz val="9"/>
        <rFont val="Arial"/>
        <family val="2"/>
      </rPr>
      <t>M</t>
    </r>
    <r>
      <rPr>
        <sz val="9"/>
        <rFont val="Arial"/>
      </rPr>
      <t xml:space="preserve"> – </t>
    </r>
    <r>
      <rPr>
        <b/>
        <i/>
        <sz val="9"/>
        <rFont val="Arial"/>
        <family val="2"/>
      </rPr>
      <t>r</t>
    </r>
    <r>
      <rPr>
        <b/>
        <vertAlign val="subscript"/>
        <sz val="9"/>
        <rFont val="Arial"/>
        <family val="2"/>
      </rPr>
      <t>F</t>
    </r>
    <r>
      <rPr>
        <sz val="9"/>
        <rFont val="Arial"/>
      </rPr>
      <t>)</t>
    </r>
  </si>
  <si>
    <t xml:space="preserve"> Sales (net discounts, returns and allowances)</t>
  </si>
  <si>
    <t xml:space="preserve"> Income from continuing operations before taxes</t>
  </si>
  <si>
    <t xml:space="preserve"> Provision for income taxes</t>
  </si>
  <si>
    <r>
      <t xml:space="preserve"> Income from continuing operations (</t>
    </r>
    <r>
      <rPr>
        <b/>
        <sz val="9"/>
        <rFont val="Arial"/>
        <family val="2"/>
      </rPr>
      <t>Note 1</t>
    </r>
    <r>
      <rPr>
        <sz val="9"/>
        <rFont val="Arial"/>
      </rPr>
      <t>)</t>
    </r>
  </si>
  <si>
    <r>
      <t xml:space="preserve"> Fiscal year end </t>
    </r>
    <r>
      <rPr>
        <sz val="8"/>
        <rFont val="Arial"/>
        <family val="2"/>
      </rPr>
      <t>(</t>
    </r>
    <r>
      <rPr>
        <b/>
        <sz val="8"/>
        <rFont val="Arial"/>
        <family val="2"/>
      </rPr>
      <t>FYE</t>
    </r>
    <r>
      <rPr>
        <sz val="8"/>
        <rFont val="Arial"/>
        <family val="2"/>
      </rPr>
      <t>)</t>
    </r>
    <r>
      <rPr>
        <b/>
        <sz val="8"/>
        <rFont val="Arial"/>
        <family val="2"/>
      </rPr>
      <t xml:space="preserve"> balances</t>
    </r>
  </si>
  <si>
    <r>
      <t xml:space="preserve"> Net operating assets (</t>
    </r>
    <r>
      <rPr>
        <b/>
        <sz val="10"/>
        <rFont val="Arial Narrow"/>
        <family val="2"/>
      </rPr>
      <t>NOA</t>
    </r>
    <r>
      <rPr>
        <sz val="9"/>
        <rFont val="Arial"/>
      </rPr>
      <t>) (</t>
    </r>
    <r>
      <rPr>
        <b/>
        <sz val="9"/>
        <rFont val="Arial"/>
        <family val="2"/>
      </rPr>
      <t>Note</t>
    </r>
    <r>
      <rPr>
        <sz val="9"/>
        <rFont val="Arial"/>
      </rPr>
      <t xml:space="preserve"> </t>
    </r>
    <r>
      <rPr>
        <b/>
        <sz val="9"/>
        <rFont val="Arial"/>
        <family val="2"/>
      </rPr>
      <t>2</t>
    </r>
    <r>
      <rPr>
        <sz val="9"/>
        <rFont val="Arial"/>
      </rPr>
      <t>)</t>
    </r>
  </si>
  <si>
    <r>
      <t xml:space="preserve"> Net financial obligations (</t>
    </r>
    <r>
      <rPr>
        <b/>
        <sz val="10"/>
        <rFont val="Arial Narrow"/>
        <family val="2"/>
      </rPr>
      <t>NFO</t>
    </r>
    <r>
      <rPr>
        <sz val="9"/>
        <rFont val="Arial"/>
      </rPr>
      <t>) (</t>
    </r>
    <r>
      <rPr>
        <b/>
        <sz val="9"/>
        <rFont val="Arial"/>
        <family val="2"/>
      </rPr>
      <t>Note 3</t>
    </r>
    <r>
      <rPr>
        <sz val="9"/>
        <rFont val="Arial"/>
      </rPr>
      <t>)</t>
    </r>
  </si>
  <si>
    <r>
      <t xml:space="preserve"> Common equity (</t>
    </r>
    <r>
      <rPr>
        <b/>
        <sz val="10"/>
        <rFont val="Arial Narrow"/>
        <family val="2"/>
      </rPr>
      <t>CE</t>
    </r>
    <r>
      <rPr>
        <sz val="9"/>
        <rFont val="Arial"/>
      </rPr>
      <t>) (</t>
    </r>
    <r>
      <rPr>
        <b/>
        <sz val="9"/>
        <rFont val="Arial"/>
        <family val="2"/>
      </rPr>
      <t>Note 4</t>
    </r>
    <r>
      <rPr>
        <sz val="9"/>
        <rFont val="Arial"/>
      </rPr>
      <t>)</t>
    </r>
  </si>
  <si>
    <r>
      <t xml:space="preserve"> Reasonableness check: Resulting </t>
    </r>
    <r>
      <rPr>
        <b/>
        <sz val="9"/>
        <rFont val="Arial"/>
        <family val="2"/>
      </rPr>
      <t>ROCE</t>
    </r>
    <r>
      <rPr>
        <i/>
        <sz val="9"/>
        <rFont val="Arial"/>
        <family val="2"/>
      </rPr>
      <t xml:space="preserve"> ratios</t>
    </r>
  </si>
  <si>
    <t>RNOA (above)</t>
  </si>
  <si>
    <t>Projected</t>
  </si>
  <si>
    <t>Net sales</t>
  </si>
  <si>
    <t>Total noncurrent liabilities</t>
  </si>
  <si>
    <t>Average PP&amp;E, net</t>
  </si>
  <si>
    <r>
      <t xml:space="preserve">Common shares outstanding </t>
    </r>
    <r>
      <rPr>
        <i/>
        <sz val="9"/>
        <rFont val="Arial"/>
        <family val="2"/>
      </rPr>
      <t>(in millions)</t>
    </r>
  </si>
  <si>
    <r>
      <t xml:space="preserve"> Estim. of investors' expected rate of return, </t>
    </r>
    <r>
      <rPr>
        <b/>
        <i/>
        <sz val="9"/>
        <rFont val="Arial"/>
        <family val="2"/>
      </rPr>
      <t>r</t>
    </r>
    <r>
      <rPr>
        <b/>
        <vertAlign val="subscript"/>
        <sz val="9"/>
        <rFont val="Arial"/>
        <family val="2"/>
      </rPr>
      <t xml:space="preserve">E </t>
    </r>
    <r>
      <rPr>
        <sz val="9"/>
        <rFont val="Arial"/>
      </rPr>
      <t>(above)</t>
    </r>
  </si>
  <si>
    <r>
      <t xml:space="preserve"> Expected income (Begin. of FY </t>
    </r>
    <r>
      <rPr>
        <b/>
        <sz val="10"/>
        <rFont val="Arial Narrow"/>
        <family val="2"/>
      </rPr>
      <t>CE</t>
    </r>
    <r>
      <rPr>
        <sz val="9"/>
        <rFont val="Arial"/>
      </rPr>
      <t xml:space="preserve"> </t>
    </r>
    <r>
      <rPr>
        <sz val="10"/>
        <rFont val="Arial"/>
        <family val="2"/>
      </rPr>
      <t>X</t>
    </r>
    <r>
      <rPr>
        <sz val="9"/>
        <rFont val="Arial"/>
      </rPr>
      <t xml:space="preserve"> </t>
    </r>
    <r>
      <rPr>
        <b/>
        <i/>
        <sz val="9"/>
        <rFont val="Arial"/>
        <family val="2"/>
      </rPr>
      <t>r</t>
    </r>
    <r>
      <rPr>
        <vertAlign val="subscript"/>
        <sz val="9"/>
        <rFont val="Arial"/>
        <family val="2"/>
      </rPr>
      <t>E</t>
    </r>
    <r>
      <rPr>
        <sz val="9"/>
        <rFont val="Arial"/>
      </rPr>
      <t>)</t>
    </r>
  </si>
  <si>
    <r>
      <t xml:space="preserve"> Residual income, </t>
    </r>
    <r>
      <rPr>
        <b/>
        <sz val="10"/>
        <rFont val="Arial Narrow"/>
        <family val="2"/>
      </rPr>
      <t>RI</t>
    </r>
    <r>
      <rPr>
        <sz val="9"/>
        <rFont val="Arial"/>
      </rPr>
      <t xml:space="preserve"> = </t>
    </r>
    <r>
      <rPr>
        <b/>
        <sz val="10"/>
        <rFont val="Arial Narrow"/>
        <family val="2"/>
      </rPr>
      <t>NI</t>
    </r>
    <r>
      <rPr>
        <sz val="9"/>
        <rFont val="Arial"/>
      </rPr>
      <t xml:space="preserve"> – Expected income</t>
    </r>
  </si>
  <si>
    <t xml:space="preserve"> Number of projected FY</t>
  </si>
  <si>
    <r>
      <t xml:space="preserve"> Discount factor</t>
    </r>
    <r>
      <rPr>
        <sz val="10"/>
        <rFont val="Arial"/>
        <family val="2"/>
      </rPr>
      <t xml:space="preserve"> </t>
    </r>
    <r>
      <rPr>
        <sz val="11"/>
        <rFont val="Arial"/>
        <family val="2"/>
      </rPr>
      <t>[</t>
    </r>
    <r>
      <rPr>
        <sz val="9"/>
        <rFont val="Arial"/>
      </rPr>
      <t xml:space="preserve">1 </t>
    </r>
    <r>
      <rPr>
        <sz val="10"/>
        <rFont val="Arial"/>
        <family val="2"/>
      </rPr>
      <t>/</t>
    </r>
    <r>
      <rPr>
        <sz val="9"/>
        <rFont val="Arial"/>
      </rPr>
      <t xml:space="preserve"> (1 + </t>
    </r>
    <r>
      <rPr>
        <b/>
        <i/>
        <sz val="9"/>
        <rFont val="Arial"/>
        <family val="2"/>
      </rPr>
      <t>r</t>
    </r>
    <r>
      <rPr>
        <b/>
        <vertAlign val="subscript"/>
        <sz val="9"/>
        <rFont val="Arial"/>
        <family val="2"/>
      </rPr>
      <t>E</t>
    </r>
    <r>
      <rPr>
        <sz val="9"/>
        <rFont val="Arial"/>
      </rPr>
      <t>)</t>
    </r>
    <r>
      <rPr>
        <vertAlign val="superscript"/>
        <sz val="10"/>
        <rFont val="Arial"/>
        <family val="2"/>
      </rPr>
      <t>Number of projected FY</t>
    </r>
    <r>
      <rPr>
        <sz val="11"/>
        <rFont val="Arial"/>
        <family val="2"/>
      </rPr>
      <t>]</t>
    </r>
  </si>
  <si>
    <r>
      <t xml:space="preserve"> Discounted present value of </t>
    </r>
    <r>
      <rPr>
        <b/>
        <sz val="10"/>
        <rFont val="Arial Narrow"/>
        <family val="2"/>
      </rPr>
      <t>RI</t>
    </r>
    <r>
      <rPr>
        <sz val="9"/>
        <rFont val="Arial"/>
      </rPr>
      <t xml:space="preserve"> (</t>
    </r>
    <r>
      <rPr>
        <b/>
        <sz val="10"/>
        <rFont val="Arial Narrow"/>
        <family val="2"/>
      </rPr>
      <t>RI</t>
    </r>
    <r>
      <rPr>
        <sz val="9"/>
        <rFont val="Arial"/>
      </rPr>
      <t xml:space="preserve"> </t>
    </r>
    <r>
      <rPr>
        <sz val="10"/>
        <rFont val="Arial Narrow"/>
        <family val="2"/>
      </rPr>
      <t>X</t>
    </r>
    <r>
      <rPr>
        <sz val="9"/>
        <rFont val="Arial"/>
      </rPr>
      <t xml:space="preserve"> Discount factor)</t>
    </r>
  </si>
  <si>
    <r>
      <t xml:space="preserve"> Cumulative present value of </t>
    </r>
    <r>
      <rPr>
        <b/>
        <sz val="10"/>
        <rFont val="Arial Narrow"/>
        <family val="2"/>
      </rPr>
      <t>RI</t>
    </r>
  </si>
  <si>
    <r>
      <t xml:space="preserve"> </t>
    </r>
    <r>
      <rPr>
        <b/>
        <sz val="9"/>
        <rFont val="Arial"/>
        <family val="2"/>
      </rPr>
      <t>Terminal</t>
    </r>
    <r>
      <rPr>
        <sz val="9"/>
        <rFont val="Arial"/>
      </rPr>
      <t xml:space="preserve"> (</t>
    </r>
    <r>
      <rPr>
        <b/>
        <sz val="9"/>
        <rFont val="Arial"/>
        <family val="2"/>
      </rPr>
      <t>continuing</t>
    </r>
    <r>
      <rPr>
        <sz val="9"/>
        <rFont val="Arial"/>
      </rPr>
      <t xml:space="preserve">) </t>
    </r>
    <r>
      <rPr>
        <b/>
        <sz val="9"/>
        <rFont val="Arial"/>
        <family val="2"/>
      </rPr>
      <t>value</t>
    </r>
    <r>
      <rPr>
        <sz val="9"/>
        <rFont val="Arial"/>
      </rPr>
      <t xml:space="preserve"> of </t>
    </r>
    <r>
      <rPr>
        <b/>
        <sz val="10"/>
        <rFont val="Arial Narrow"/>
        <family val="2"/>
      </rPr>
      <t>RI</t>
    </r>
    <r>
      <rPr>
        <sz val="9"/>
        <rFont val="Arial"/>
      </rPr>
      <t xml:space="preserve"> (</t>
    </r>
    <r>
      <rPr>
        <b/>
        <sz val="9"/>
        <rFont val="Arial"/>
        <family val="2"/>
      </rPr>
      <t>Note 5</t>
    </r>
    <r>
      <rPr>
        <sz val="9"/>
        <rFont val="Arial"/>
      </rPr>
      <t>)</t>
    </r>
  </si>
  <si>
    <t xml:space="preserve">     (No tax effect included on analysis adjustments to spin-off gain, goodwill impairment loss, or other intangible asset impairment loss)</t>
  </si>
  <si>
    <t>OCF-to-NI before D&amp;A ratio</t>
  </si>
  <si>
    <t xml:space="preserve">   AR, net</t>
  </si>
  <si>
    <t xml:space="preserve">   DIT assets</t>
  </si>
  <si>
    <t xml:space="preserve">   Other current assets</t>
  </si>
  <si>
    <t xml:space="preserve">   AP</t>
  </si>
  <si>
    <t xml:space="preserve">   Accrued liabilities</t>
  </si>
  <si>
    <r>
      <rPr>
        <b/>
        <sz val="9"/>
        <rFont val="Arial"/>
        <family val="2"/>
      </rPr>
      <t xml:space="preserve"> Note 2</t>
    </r>
    <r>
      <rPr>
        <sz val="9"/>
        <rFont val="Arial"/>
      </rPr>
      <t xml:space="preserve"> – In projected FYs, </t>
    </r>
    <r>
      <rPr>
        <b/>
        <sz val="10"/>
        <rFont val="Arial Narrow"/>
        <family val="2"/>
      </rPr>
      <t>NOA</t>
    </r>
    <r>
      <rPr>
        <sz val="9"/>
        <rFont val="Arial"/>
      </rPr>
      <t xml:space="preserve"> = Projected sales </t>
    </r>
    <r>
      <rPr>
        <sz val="10"/>
        <rFont val="Arial"/>
        <family val="2"/>
      </rPr>
      <t>/</t>
    </r>
    <r>
      <rPr>
        <sz val="9"/>
        <rFont val="Arial"/>
      </rPr>
      <t xml:space="preserve"> Projected </t>
    </r>
    <r>
      <rPr>
        <b/>
        <sz val="10"/>
        <rFont val="Arial Narrow"/>
        <family val="2"/>
      </rPr>
      <t>NOA</t>
    </r>
    <r>
      <rPr>
        <sz val="9"/>
        <rFont val="Arial"/>
      </rPr>
      <t xml:space="preserve"> turnover ratio</t>
    </r>
  </si>
  <si>
    <r>
      <rPr>
        <b/>
        <sz val="9"/>
        <rFont val="Arial"/>
        <family val="2"/>
      </rPr>
      <t xml:space="preserve"> Note 3</t>
    </r>
    <r>
      <rPr>
        <sz val="9"/>
        <rFont val="Arial"/>
      </rPr>
      <t xml:space="preserve"> – In all FYs, </t>
    </r>
    <r>
      <rPr>
        <b/>
        <sz val="10"/>
        <rFont val="Arial Narrow"/>
        <family val="2"/>
      </rPr>
      <t>NFO</t>
    </r>
    <r>
      <rPr>
        <sz val="9"/>
        <rFont val="Arial"/>
      </rPr>
      <t xml:space="preserve">–financial liabilities net of financial assets–computed as: </t>
    </r>
    <r>
      <rPr>
        <b/>
        <sz val="10"/>
        <rFont val="Arial Narrow"/>
        <family val="2"/>
      </rPr>
      <t>NFO</t>
    </r>
    <r>
      <rPr>
        <sz val="9"/>
        <rFont val="Arial"/>
      </rPr>
      <t xml:space="preserve"> = </t>
    </r>
    <r>
      <rPr>
        <b/>
        <sz val="10"/>
        <rFont val="Arial Narrow"/>
        <family val="2"/>
      </rPr>
      <t>NOA</t>
    </r>
    <r>
      <rPr>
        <sz val="9"/>
        <rFont val="Arial"/>
      </rPr>
      <t xml:space="preserve"> – </t>
    </r>
    <r>
      <rPr>
        <b/>
        <sz val="10"/>
        <rFont val="Arial Narrow"/>
        <family val="2"/>
      </rPr>
      <t>CE</t>
    </r>
  </si>
  <si>
    <r>
      <t xml:space="preserve"> </t>
    </r>
    <r>
      <rPr>
        <b/>
        <sz val="9"/>
        <rFont val="Arial"/>
        <family val="2"/>
      </rPr>
      <t xml:space="preserve">Note 4 </t>
    </r>
    <r>
      <rPr>
        <sz val="9"/>
        <rFont val="Arial"/>
      </rPr>
      <t xml:space="preserve">– In all FYs, </t>
    </r>
    <r>
      <rPr>
        <b/>
        <sz val="10"/>
        <rFont val="Arial Narrow"/>
        <family val="2"/>
      </rPr>
      <t>CE</t>
    </r>
    <r>
      <rPr>
        <b/>
        <sz val="9"/>
        <rFont val="Arial"/>
        <family val="2"/>
      </rPr>
      <t xml:space="preserve"> </t>
    </r>
    <r>
      <rPr>
        <i/>
        <sz val="9"/>
        <rFont val="Arial"/>
        <family val="2"/>
      </rPr>
      <t xml:space="preserve">excludes </t>
    </r>
    <r>
      <rPr>
        <sz val="9"/>
        <rFont val="Arial"/>
      </rPr>
      <t>any preferred stock</t>
    </r>
  </si>
  <si>
    <r>
      <rPr>
        <i/>
        <sz val="9"/>
        <rFont val="Arial"/>
        <family val="2"/>
      </rPr>
      <t>where</t>
    </r>
    <r>
      <rPr>
        <sz val="9"/>
        <rFont val="Arial"/>
      </rPr>
      <t xml:space="preserve">, </t>
    </r>
    <r>
      <rPr>
        <b/>
        <i/>
        <sz val="9"/>
        <rFont val="Arial"/>
        <family val="2"/>
      </rPr>
      <t>r</t>
    </r>
    <r>
      <rPr>
        <b/>
        <vertAlign val="subscript"/>
        <sz val="9"/>
        <rFont val="Arial"/>
        <family val="2"/>
      </rPr>
      <t>F</t>
    </r>
    <r>
      <rPr>
        <sz val="9"/>
        <rFont val="Arial"/>
      </rPr>
      <t xml:space="preserve"> = 0.045, </t>
    </r>
    <r>
      <rPr>
        <b/>
        <i/>
        <sz val="9"/>
        <rFont val="Arial"/>
        <family val="2"/>
      </rPr>
      <t>r</t>
    </r>
    <r>
      <rPr>
        <b/>
        <vertAlign val="subscript"/>
        <sz val="9"/>
        <rFont val="Arial"/>
        <family val="2"/>
      </rPr>
      <t>M</t>
    </r>
    <r>
      <rPr>
        <sz val="9"/>
        <rFont val="Arial"/>
      </rPr>
      <t xml:space="preserve"> = 0.1125, β = </t>
    </r>
  </si>
  <si>
    <r>
      <rPr>
        <b/>
        <sz val="9"/>
        <rFont val="Arial"/>
        <family val="2"/>
      </rPr>
      <t xml:space="preserve"> Note 5</t>
    </r>
    <r>
      <rPr>
        <sz val="9"/>
        <rFont val="Arial"/>
      </rPr>
      <t xml:space="preserve"> – </t>
    </r>
    <r>
      <rPr>
        <b/>
        <sz val="9"/>
        <rFont val="Arial"/>
        <family val="2"/>
      </rPr>
      <t xml:space="preserve">Terminal </t>
    </r>
    <r>
      <rPr>
        <sz val="9"/>
        <rFont val="Arial"/>
      </rPr>
      <t>(</t>
    </r>
    <r>
      <rPr>
        <b/>
        <sz val="9"/>
        <rFont val="Arial"/>
        <family val="2"/>
      </rPr>
      <t>continuing</t>
    </r>
    <r>
      <rPr>
        <sz val="9"/>
        <rFont val="Arial"/>
      </rPr>
      <t xml:space="preserve">) </t>
    </r>
    <r>
      <rPr>
        <b/>
        <sz val="9"/>
        <rFont val="Arial"/>
        <family val="2"/>
      </rPr>
      <t>value</t>
    </r>
    <r>
      <rPr>
        <sz val="9"/>
        <rFont val="Arial"/>
      </rPr>
      <t xml:space="preserve"> of </t>
    </r>
    <r>
      <rPr>
        <b/>
        <sz val="10"/>
        <rFont val="Arial Narrow"/>
        <family val="2"/>
      </rPr>
      <t>RI</t>
    </r>
    <r>
      <rPr>
        <sz val="9"/>
        <rFont val="Arial"/>
      </rPr>
      <t xml:space="preserve"> = Terminal </t>
    </r>
    <r>
      <rPr>
        <b/>
        <sz val="10"/>
        <rFont val="Arial Narrow"/>
        <family val="2"/>
      </rPr>
      <t>RI</t>
    </r>
    <r>
      <rPr>
        <sz val="9"/>
        <rFont val="Arial"/>
      </rPr>
      <t xml:space="preserve"> </t>
    </r>
    <r>
      <rPr>
        <sz val="11"/>
        <rFont val="Arial"/>
        <family val="2"/>
      </rPr>
      <t>/</t>
    </r>
    <r>
      <rPr>
        <sz val="9"/>
        <rFont val="Arial"/>
      </rPr>
      <t xml:space="preserve"> [(</t>
    </r>
    <r>
      <rPr>
        <b/>
        <i/>
        <sz val="9"/>
        <rFont val="Arial"/>
        <family val="2"/>
      </rPr>
      <t>r</t>
    </r>
    <r>
      <rPr>
        <b/>
        <vertAlign val="subscript"/>
        <sz val="9"/>
        <rFont val="Arial"/>
        <family val="2"/>
      </rPr>
      <t>E</t>
    </r>
    <r>
      <rPr>
        <sz val="9"/>
        <rFont val="Arial"/>
      </rPr>
      <t xml:space="preserve">  –  Terminal</t>
    </r>
    <r>
      <rPr>
        <b/>
        <i/>
        <sz val="9"/>
        <rFont val="Arial"/>
        <family val="2"/>
      </rPr>
      <t xml:space="preserve"> g</t>
    </r>
    <r>
      <rPr>
        <sz val="9"/>
        <rFont val="Arial"/>
      </rPr>
      <t xml:space="preserve">)  X  (1  +  </t>
    </r>
    <r>
      <rPr>
        <b/>
        <i/>
        <sz val="9"/>
        <rFont val="Arial"/>
        <family val="2"/>
      </rPr>
      <t>r</t>
    </r>
    <r>
      <rPr>
        <b/>
        <vertAlign val="subscript"/>
        <sz val="9"/>
        <rFont val="Arial"/>
        <family val="2"/>
      </rPr>
      <t>E</t>
    </r>
    <r>
      <rPr>
        <sz val="9"/>
        <rFont val="Arial"/>
      </rPr>
      <t xml:space="preserve"> )</t>
    </r>
    <r>
      <rPr>
        <b/>
        <vertAlign val="superscript"/>
        <sz val="10"/>
        <rFont val="Arial Narrow"/>
        <family val="2"/>
      </rPr>
      <t>Number of final projected year</t>
    </r>
    <r>
      <rPr>
        <sz val="9"/>
        <rFont val="Arial"/>
      </rPr>
      <t>]</t>
    </r>
  </si>
  <si>
    <t>Depreciation and amortization (D&amp;A)</t>
  </si>
  <si>
    <t>NI before D&amp;A</t>
  </si>
  <si>
    <t>Ratio of OCF to NI before D&amp;A</t>
  </si>
  <si>
    <t>Cumulative Ratio of OCF to NI before D&amp;A</t>
  </si>
  <si>
    <t xml:space="preserve"> Free Cash Flow (FCF) Analysis</t>
  </si>
  <si>
    <t>OCF (from NI-to-OCF Reconciliation schedule)</t>
  </si>
  <si>
    <t>Increase (decrease) in FCF from preceding year</t>
  </si>
  <si>
    <t>FCF as percent of income from continuing operations</t>
  </si>
  <si>
    <r>
      <t xml:space="preserve"> Retained earnings-to-total assets ratio (the “firm age and cumulative profitability” variable, X</t>
    </r>
    <r>
      <rPr>
        <vertAlign val="subscript"/>
        <sz val="9"/>
        <rFont val="Arial"/>
        <family val="2"/>
      </rPr>
      <t>2</t>
    </r>
    <r>
      <rPr>
        <sz val="9"/>
        <rFont val="Arial"/>
      </rPr>
      <t>)</t>
    </r>
  </si>
  <si>
    <r>
      <t xml:space="preserve"> Earnings before interest and taxes (EBIT)-to-total assets ratio (the “profitability” variable, X</t>
    </r>
    <r>
      <rPr>
        <vertAlign val="subscript"/>
        <sz val="9"/>
        <rFont val="Arial"/>
        <family val="2"/>
      </rPr>
      <t>3</t>
    </r>
    <r>
      <rPr>
        <sz val="9"/>
        <rFont val="Arial"/>
      </rPr>
      <t>)</t>
    </r>
  </si>
  <si>
    <t>Financial (non-operating) liabilities</t>
  </si>
  <si>
    <t>Total "cash costs"</t>
  </si>
  <si>
    <t>(US dollars in millions)</t>
  </si>
  <si>
    <t>(US dollar amounts in millions)</t>
  </si>
  <si>
    <r>
      <t xml:space="preserve"> Sales-to-total assets (total asset turnover) ratio (the “asset utilization” variable, X</t>
    </r>
    <r>
      <rPr>
        <vertAlign val="subscript"/>
        <sz val="9"/>
        <rFont val="Arial"/>
        <family val="2"/>
      </rPr>
      <t>5</t>
    </r>
    <r>
      <rPr>
        <sz val="9"/>
        <rFont val="Arial"/>
      </rPr>
      <t>)</t>
    </r>
  </si>
  <si>
    <t>Explanatory ratio</t>
  </si>
  <si>
    <t>Weighting (constant)</t>
  </si>
  <si>
    <t>Ratio X Weighting</t>
  </si>
  <si>
    <t>Current assets</t>
  </si>
  <si>
    <t>Net working capital</t>
  </si>
  <si>
    <t>Income from contin. operations before taxes</t>
  </si>
  <si>
    <t>EBIT</t>
  </si>
  <si>
    <t>Closing stock price</t>
  </si>
  <si>
    <t>Market capitalization</t>
  </si>
  <si>
    <t>Z-Score (sum of weighted explanatory ratios)</t>
  </si>
  <si>
    <r>
      <t>Z</t>
    </r>
    <r>
      <rPr>
        <sz val="9"/>
        <rFont val="Arial"/>
      </rPr>
      <t>-</t>
    </r>
    <r>
      <rPr>
        <b/>
        <sz val="9"/>
        <rFont val="Arial"/>
        <family val="2"/>
      </rPr>
      <t>Score</t>
    </r>
    <r>
      <rPr>
        <sz val="9"/>
        <rFont val="Arial"/>
      </rPr>
      <t xml:space="preserve"> </t>
    </r>
    <r>
      <rPr>
        <b/>
        <vertAlign val="subscript"/>
        <sz val="9"/>
        <rFont val="Arial"/>
        <family val="2"/>
      </rPr>
      <t>Manufacturing</t>
    </r>
  </si>
  <si>
    <t>Interpretation</t>
  </si>
  <si>
    <t>Below 1.8</t>
  </si>
  <si>
    <t>Suggests a “high” probability of bankruptcy</t>
  </si>
  <si>
    <r>
      <t xml:space="preserve"> Return on total common stockholders</t>
    </r>
    <r>
      <rPr>
        <sz val="9"/>
        <rFont val="Arial"/>
      </rPr>
      <t xml:space="preserve">' </t>
    </r>
    <r>
      <rPr>
        <b/>
        <sz val="9"/>
        <rFont val="Arial"/>
        <family val="2"/>
      </rPr>
      <t>equity</t>
    </r>
    <r>
      <rPr>
        <sz val="9"/>
        <rFont val="Arial"/>
      </rPr>
      <t xml:space="preserve"> (</t>
    </r>
    <r>
      <rPr>
        <b/>
        <sz val="9"/>
        <rFont val="Arial"/>
        <family val="2"/>
      </rPr>
      <t>ROCE</t>
    </r>
    <r>
      <rPr>
        <sz val="9"/>
        <rFont val="Arial"/>
      </rPr>
      <t xml:space="preserve">) </t>
    </r>
    <r>
      <rPr>
        <b/>
        <sz val="9"/>
        <rFont val="Arial"/>
        <family val="2"/>
      </rPr>
      <t>ratio</t>
    </r>
  </si>
  <si>
    <t>Operating cash flow (OCF) [from SCF]</t>
  </si>
  <si>
    <r>
      <t xml:space="preserve"> OCF</t>
    </r>
    <r>
      <rPr>
        <sz val="9"/>
        <rFont val="Arial"/>
      </rPr>
      <t>-</t>
    </r>
    <r>
      <rPr>
        <b/>
        <sz val="9"/>
        <rFont val="Arial"/>
        <family val="2"/>
      </rPr>
      <t>to</t>
    </r>
    <r>
      <rPr>
        <sz val="9"/>
        <rFont val="Arial"/>
      </rPr>
      <t>-</t>
    </r>
    <r>
      <rPr>
        <b/>
        <sz val="9"/>
        <rFont val="Arial"/>
        <family val="2"/>
      </rPr>
      <t>L</t>
    </r>
    <r>
      <rPr>
        <sz val="9"/>
        <rFont val="Arial"/>
      </rPr>
      <t>-</t>
    </r>
    <r>
      <rPr>
        <b/>
        <sz val="9"/>
        <rFont val="Arial"/>
        <family val="2"/>
      </rPr>
      <t>T debt ratio</t>
    </r>
  </si>
  <si>
    <t>AP and accrued liabilities</t>
  </si>
  <si>
    <t>Average AP and accrued liabilities</t>
  </si>
  <si>
    <t>Average daily "cash costs" (assume 360-day year)</t>
  </si>
  <si>
    <t>"Cash costs" [from above]</t>
  </si>
  <si>
    <r>
      <t xml:space="preserve"> Net operating cycle</t>
    </r>
    <r>
      <rPr>
        <sz val="9"/>
        <rFont val="Arial"/>
      </rPr>
      <t xml:space="preserve"> (</t>
    </r>
    <r>
      <rPr>
        <b/>
        <sz val="9"/>
        <rFont val="Arial"/>
        <family val="2"/>
      </rPr>
      <t>days</t>
    </r>
    <r>
      <rPr>
        <sz val="9"/>
        <rFont val="Arial"/>
      </rPr>
      <t xml:space="preserve">) </t>
    </r>
  </si>
  <si>
    <r>
      <t>Z</t>
    </r>
    <r>
      <rPr>
        <sz val="9"/>
        <rFont val="Arial"/>
      </rPr>
      <t>-</t>
    </r>
    <r>
      <rPr>
        <b/>
        <sz val="9"/>
        <rFont val="Arial"/>
        <family val="2"/>
      </rPr>
      <t>Score</t>
    </r>
    <r>
      <rPr>
        <sz val="9"/>
        <rFont val="Arial"/>
      </rPr>
      <t xml:space="preserve"> </t>
    </r>
    <r>
      <rPr>
        <b/>
        <vertAlign val="subscript"/>
        <sz val="9"/>
        <rFont val="Arial"/>
        <family val="2"/>
      </rPr>
      <t>Services</t>
    </r>
  </si>
  <si>
    <t>Below 1.75</t>
  </si>
  <si>
    <t>Between 1.75 and 3.75</t>
  </si>
  <si>
    <t>Above 3.75</t>
  </si>
  <si>
    <r>
      <t xml:space="preserve"> Z-Score </t>
    </r>
    <r>
      <rPr>
        <b/>
        <vertAlign val="subscript"/>
        <sz val="10"/>
        <rFont val="Arial"/>
        <family val="2"/>
      </rPr>
      <t>Manufacturing</t>
    </r>
    <r>
      <rPr>
        <sz val="9"/>
        <rFont val="Arial"/>
      </rPr>
      <t xml:space="preserve"> = 1.2(X</t>
    </r>
    <r>
      <rPr>
        <b/>
        <vertAlign val="subscript"/>
        <sz val="10"/>
        <rFont val="Arial"/>
        <family val="2"/>
      </rPr>
      <t>1</t>
    </r>
    <r>
      <rPr>
        <sz val="9"/>
        <rFont val="Arial"/>
      </rPr>
      <t>) + 1.4(X</t>
    </r>
    <r>
      <rPr>
        <b/>
        <vertAlign val="subscript"/>
        <sz val="10"/>
        <rFont val="Arial"/>
        <family val="2"/>
      </rPr>
      <t>2</t>
    </r>
    <r>
      <rPr>
        <sz val="9"/>
        <rFont val="Arial"/>
      </rPr>
      <t>) + 3.3X</t>
    </r>
    <r>
      <rPr>
        <b/>
        <vertAlign val="subscript"/>
        <sz val="10"/>
        <rFont val="Arial"/>
        <family val="2"/>
      </rPr>
      <t>3</t>
    </r>
    <r>
      <rPr>
        <sz val="9"/>
        <rFont val="Arial"/>
      </rPr>
      <t>) + 0.6(X</t>
    </r>
    <r>
      <rPr>
        <b/>
        <vertAlign val="subscript"/>
        <sz val="10"/>
        <rFont val="Arial"/>
        <family val="2"/>
      </rPr>
      <t>4</t>
    </r>
    <r>
      <rPr>
        <sz val="9"/>
        <rFont val="Arial"/>
      </rPr>
      <t>) + 0.99(X</t>
    </r>
    <r>
      <rPr>
        <b/>
        <vertAlign val="subscript"/>
        <sz val="10"/>
        <rFont val="Arial"/>
        <family val="2"/>
      </rPr>
      <t>5</t>
    </r>
    <r>
      <rPr>
        <sz val="9"/>
        <rFont val="Arial"/>
      </rPr>
      <t xml:space="preserve">), </t>
    </r>
    <r>
      <rPr>
        <i/>
        <sz val="9"/>
        <rFont val="Arial"/>
        <family val="2"/>
      </rPr>
      <t>where</t>
    </r>
  </si>
  <si>
    <r>
      <t xml:space="preserve"> Z-Score </t>
    </r>
    <r>
      <rPr>
        <b/>
        <vertAlign val="subscript"/>
        <sz val="10"/>
        <rFont val="Arial"/>
        <family val="2"/>
      </rPr>
      <t>Services</t>
    </r>
    <r>
      <rPr>
        <sz val="9"/>
        <rFont val="Arial"/>
      </rPr>
      <t xml:space="preserve"> = 6.56(X</t>
    </r>
    <r>
      <rPr>
        <b/>
        <vertAlign val="subscript"/>
        <sz val="10"/>
        <rFont val="Arial"/>
        <family val="2"/>
      </rPr>
      <t>1</t>
    </r>
    <r>
      <rPr>
        <sz val="9"/>
        <rFont val="Arial"/>
      </rPr>
      <t>) + 3.26(X</t>
    </r>
    <r>
      <rPr>
        <b/>
        <vertAlign val="subscript"/>
        <sz val="10"/>
        <rFont val="Arial"/>
        <family val="2"/>
      </rPr>
      <t>2</t>
    </r>
    <r>
      <rPr>
        <sz val="9"/>
        <rFont val="Arial"/>
      </rPr>
      <t>) + 6.72(X</t>
    </r>
    <r>
      <rPr>
        <b/>
        <vertAlign val="subscript"/>
        <sz val="10"/>
        <rFont val="Arial"/>
        <family val="2"/>
      </rPr>
      <t>3</t>
    </r>
    <r>
      <rPr>
        <sz val="9"/>
        <rFont val="Arial"/>
      </rPr>
      <t>) + 1.05(X</t>
    </r>
    <r>
      <rPr>
        <b/>
        <vertAlign val="subscript"/>
        <sz val="10"/>
        <rFont val="Arial"/>
        <family val="2"/>
      </rPr>
      <t>4</t>
    </r>
    <r>
      <rPr>
        <sz val="9"/>
        <rFont val="Arial"/>
      </rPr>
      <t xml:space="preserve">), </t>
    </r>
    <r>
      <rPr>
        <i/>
        <sz val="9"/>
        <rFont val="Arial"/>
        <family val="2"/>
      </rPr>
      <t>where</t>
    </r>
  </si>
  <si>
    <r>
      <t xml:space="preserve"> EBIT-to-total assets ratio, X</t>
    </r>
    <r>
      <rPr>
        <vertAlign val="subscript"/>
        <sz val="10"/>
        <rFont val="Arial"/>
        <family val="2"/>
      </rPr>
      <t>3</t>
    </r>
  </si>
  <si>
    <r>
      <t xml:space="preserve"> Total common equity-to-total liabilities ratio, X</t>
    </r>
    <r>
      <rPr>
        <vertAlign val="subscript"/>
        <sz val="10"/>
        <rFont val="Arial"/>
        <family val="2"/>
      </rPr>
      <t>4</t>
    </r>
  </si>
  <si>
    <r>
      <t xml:space="preserve"> Retained earnings-to-total assets ratio, X</t>
    </r>
    <r>
      <rPr>
        <vertAlign val="subscript"/>
        <sz val="10"/>
        <rFont val="Arial"/>
        <family val="2"/>
      </rPr>
      <t>2</t>
    </r>
  </si>
  <si>
    <r>
      <t xml:space="preserve"> Net working capital-to-assets ratio, X</t>
    </r>
    <r>
      <rPr>
        <vertAlign val="subscript"/>
        <sz val="10"/>
        <rFont val="Arial"/>
        <family val="2"/>
      </rPr>
      <t>1</t>
    </r>
  </si>
  <si>
    <r>
      <t xml:space="preserve"> Sales-to-total assets ratio, X</t>
    </r>
    <r>
      <rPr>
        <vertAlign val="subscript"/>
        <sz val="10"/>
        <rFont val="Arial"/>
        <family val="2"/>
      </rPr>
      <t>5</t>
    </r>
  </si>
  <si>
    <r>
      <t xml:space="preserve"> Market "cap"-to-total liabilities ratio, X</t>
    </r>
    <r>
      <rPr>
        <vertAlign val="subscript"/>
        <sz val="10"/>
        <rFont val="Arial"/>
        <family val="2"/>
      </rPr>
      <t>4</t>
    </r>
  </si>
  <si>
    <t>The Company</t>
  </si>
  <si>
    <t>Industry Group Total</t>
  </si>
  <si>
    <t xml:space="preserve">Common shares </t>
  </si>
  <si>
    <t>Per share</t>
  </si>
  <si>
    <t>–</t>
  </si>
  <si>
    <t xml:space="preserve"> Industry firms (in addition to the Company and its Key Competitor)</t>
  </si>
  <si>
    <t>Key Competitor</t>
  </si>
  <si>
    <t xml:space="preserve"> Fundamental (intrinsic) value (see our equity valuation)</t>
  </si>
  <si>
    <t>Goodwill, net impairment write-downs</t>
  </si>
  <si>
    <t>Other intangibles, net amort., impairment</t>
  </si>
  <si>
    <t>Notes and loans payable–current</t>
  </si>
  <si>
    <t>Bonds–current portion</t>
  </si>
  <si>
    <t>Notes and loans payable–noncurrent</t>
  </si>
  <si>
    <r>
      <t xml:space="preserve"> Residual income </t>
    </r>
    <r>
      <rPr>
        <sz val="8"/>
        <rFont val="Arial"/>
        <family val="2"/>
      </rPr>
      <t>(</t>
    </r>
    <r>
      <rPr>
        <b/>
        <sz val="8"/>
        <rFont val="Arial"/>
        <family val="2"/>
      </rPr>
      <t>RI</t>
    </r>
    <r>
      <rPr>
        <sz val="8"/>
        <rFont val="Arial"/>
        <family val="2"/>
      </rPr>
      <t xml:space="preserve">) </t>
    </r>
    <r>
      <rPr>
        <b/>
        <sz val="8"/>
        <rFont val="Arial"/>
        <family val="2"/>
      </rPr>
      <t>projections</t>
    </r>
  </si>
  <si>
    <r>
      <t xml:space="preserve"> Common equity (</t>
    </r>
    <r>
      <rPr>
        <b/>
        <sz val="10"/>
        <rFont val="Arial Narrow"/>
        <family val="2"/>
      </rPr>
      <t>CE</t>
    </r>
    <r>
      <rPr>
        <sz val="9"/>
        <rFont val="Arial"/>
      </rPr>
      <t xml:space="preserve">), </t>
    </r>
    <r>
      <rPr>
        <i/>
        <sz val="9"/>
        <rFont val="Arial"/>
        <family val="2"/>
      </rPr>
      <t>begin. of</t>
    </r>
    <r>
      <rPr>
        <sz val="9"/>
        <rFont val="Arial"/>
      </rPr>
      <t xml:space="preserve"> FY (from above)</t>
    </r>
  </si>
  <si>
    <t>Preferred (or preference) stock</t>
  </si>
  <si>
    <t>Accum other comprehensive income (loss)</t>
  </si>
  <si>
    <t>Unearned stock-based compensation</t>
  </si>
  <si>
    <t>Noncontrolling interest in consolid subsid</t>
  </si>
  <si>
    <t>Capital lease obligation–current portion</t>
  </si>
  <si>
    <t>Other noncurrent assets</t>
  </si>
  <si>
    <t>Other operating expenses (income)</t>
  </si>
  <si>
    <t>Income attrib to noncontrolling interests</t>
  </si>
  <si>
    <t>Other income (expense)</t>
  </si>
  <si>
    <t>Less: Income attrib to noncontrol interests</t>
  </si>
  <si>
    <t xml:space="preserve"> Income from contin oper incl noncontrol int's</t>
  </si>
  <si>
    <t>From company's income statement for:</t>
  </si>
  <si>
    <t>Discount (incremental borrowing) rate</t>
  </si>
  <si>
    <t>Minimum lease payments (MLPs)</t>
  </si>
  <si>
    <t>Capital leases</t>
  </si>
  <si>
    <t xml:space="preserve">D   </t>
  </si>
  <si>
    <t>E</t>
  </si>
  <si>
    <t>F</t>
  </si>
  <si>
    <t>G</t>
  </si>
  <si>
    <t>H</t>
  </si>
  <si>
    <t>I</t>
  </si>
  <si>
    <t>J</t>
  </si>
  <si>
    <t>From footnote</t>
  </si>
  <si>
    <r>
      <t xml:space="preserve">1 / (1 </t>
    </r>
    <r>
      <rPr>
        <sz val="9"/>
        <color indexed="18"/>
        <rFont val="Arial Narrow"/>
        <family val="2"/>
      </rPr>
      <t xml:space="preserve">+ </t>
    </r>
    <r>
      <rPr>
        <b/>
        <sz val="9"/>
        <color indexed="18"/>
        <rFont val="Arial Narrow"/>
        <family val="2"/>
      </rPr>
      <t>Discount rate)</t>
    </r>
    <r>
      <rPr>
        <b/>
        <vertAlign val="superscript"/>
        <sz val="9"/>
        <color indexed="18"/>
        <rFont val="Arial Narrow"/>
        <family val="2"/>
      </rPr>
      <t>n</t>
    </r>
  </si>
  <si>
    <r>
      <t xml:space="preserve">C </t>
    </r>
    <r>
      <rPr>
        <sz val="9"/>
        <color indexed="18"/>
        <rFont val="Arial Narrow"/>
        <family val="2"/>
      </rPr>
      <t>x</t>
    </r>
    <r>
      <rPr>
        <b/>
        <sz val="9"/>
        <color indexed="18"/>
        <rFont val="Arial Narrow"/>
        <family val="2"/>
      </rPr>
      <t xml:space="preserve"> D</t>
    </r>
  </si>
  <si>
    <r>
      <rPr>
        <sz val="9"/>
        <color indexed="18"/>
        <rFont val="Arial Narrow"/>
        <family val="2"/>
      </rPr>
      <t>Prior</t>
    </r>
    <r>
      <rPr>
        <b/>
        <sz val="9"/>
        <color indexed="18"/>
        <rFont val="Arial Narrow"/>
        <family val="2"/>
      </rPr>
      <t xml:space="preserve"> H </t>
    </r>
    <r>
      <rPr>
        <sz val="9"/>
        <color indexed="18"/>
        <rFont val="Arial Narrow"/>
        <family val="2"/>
      </rPr>
      <t>x</t>
    </r>
    <r>
      <rPr>
        <b/>
        <sz val="9"/>
        <color indexed="18"/>
        <rFont val="Arial Narrow"/>
        <family val="2"/>
      </rPr>
      <t xml:space="preserve"> Rate</t>
    </r>
  </si>
  <si>
    <t>C – F</t>
  </si>
  <si>
    <r>
      <rPr>
        <sz val="9"/>
        <color indexed="18"/>
        <rFont val="Arial Narrow"/>
        <family val="2"/>
      </rPr>
      <t>Prior</t>
    </r>
    <r>
      <rPr>
        <b/>
        <sz val="9"/>
        <color indexed="18"/>
        <rFont val="Arial Narrow"/>
        <family val="2"/>
      </rPr>
      <t xml:space="preserve"> H – G</t>
    </r>
  </si>
  <si>
    <r>
      <rPr>
        <sz val="9"/>
        <color indexed="18"/>
        <rFont val="Arial Narrow"/>
        <family val="2"/>
      </rPr>
      <t>Begin.</t>
    </r>
    <r>
      <rPr>
        <b/>
        <sz val="9"/>
        <color indexed="18"/>
        <rFont val="Arial Narrow"/>
        <family val="2"/>
      </rPr>
      <t xml:space="preserve"> I – J</t>
    </r>
  </si>
  <si>
    <t xml:space="preserve">   Income taxes payable</t>
  </si>
  <si>
    <t xml:space="preserve">   DIT liabilities–current</t>
  </si>
  <si>
    <t xml:space="preserve">   Other current liabilities</t>
  </si>
  <si>
    <t>[Other]</t>
  </si>
  <si>
    <t>Other, net</t>
  </si>
  <si>
    <t>Investment securities AFS (market value)</t>
  </si>
  <si>
    <t>Average AR, net</t>
  </si>
  <si>
    <t>Sales, net</t>
  </si>
  <si>
    <t>Sales, net returns and allowances</t>
  </si>
  <si>
    <t>Inventory, at LOCOM</t>
  </si>
  <si>
    <t>COS</t>
  </si>
  <si>
    <t>Average daily COS (assume 360-day year)</t>
  </si>
  <si>
    <t>Income from cont oper's before taxes and interest exp (EBIT)</t>
  </si>
  <si>
    <t>Income from continuing operations before income taxes</t>
  </si>
  <si>
    <t>Income from continuing operations (after taxes)</t>
  </si>
  <si>
    <t>Combined effective income tax rate</t>
  </si>
  <si>
    <t>Income from contin oper's (after taxes) incl noncontrol int's</t>
  </si>
  <si>
    <t>Total stockholders' equity</t>
  </si>
  <si>
    <r>
      <t xml:space="preserve"> Total </t>
    </r>
    <r>
      <rPr>
        <i/>
        <sz val="9"/>
        <rFont val="Arial"/>
        <family val="2"/>
      </rPr>
      <t>common</t>
    </r>
    <r>
      <rPr>
        <sz val="9"/>
        <rFont val="Arial"/>
      </rPr>
      <t xml:space="preserve"> (only) stockholders' equity</t>
    </r>
  </si>
  <si>
    <r>
      <t xml:space="preserve"> Average total </t>
    </r>
    <r>
      <rPr>
        <i/>
        <sz val="9"/>
        <rFont val="Arial"/>
        <family val="2"/>
      </rPr>
      <t>common</t>
    </r>
    <r>
      <rPr>
        <sz val="9"/>
        <rFont val="Arial"/>
      </rPr>
      <t xml:space="preserve"> (only) stockholders' equity</t>
    </r>
  </si>
  <si>
    <t>Liabilities and stockholders' equity</t>
  </si>
  <si>
    <t>Total liabilities and stockholders' equity</t>
  </si>
  <si>
    <r>
      <t xml:space="preserve"> Current</t>
    </r>
    <r>
      <rPr>
        <sz val="9"/>
        <rFont val="Arial"/>
      </rPr>
      <t xml:space="preserve"> (</t>
    </r>
    <r>
      <rPr>
        <b/>
        <sz val="9"/>
        <rFont val="Arial"/>
        <family val="2"/>
      </rPr>
      <t>working capital</t>
    </r>
    <r>
      <rPr>
        <sz val="9"/>
        <rFont val="Arial"/>
      </rPr>
      <t xml:space="preserve">) </t>
    </r>
    <r>
      <rPr>
        <b/>
        <sz val="9"/>
        <rFont val="Arial"/>
        <family val="2"/>
      </rPr>
      <t>ratio</t>
    </r>
  </si>
  <si>
    <r>
      <t xml:space="preserve"> Acid-test</t>
    </r>
    <r>
      <rPr>
        <sz val="9"/>
        <rFont val="Arial"/>
      </rPr>
      <t xml:space="preserve"> (</t>
    </r>
    <r>
      <rPr>
        <b/>
        <sz val="9"/>
        <rFont val="Arial"/>
        <family val="2"/>
      </rPr>
      <t>quick) ratio</t>
    </r>
  </si>
  <si>
    <r>
      <t xml:space="preserve"> Average collection period</t>
    </r>
    <r>
      <rPr>
        <sz val="9"/>
        <rFont val="Arial"/>
      </rPr>
      <t xml:space="preserve"> (</t>
    </r>
    <r>
      <rPr>
        <b/>
        <sz val="9"/>
        <rFont val="Arial"/>
        <family val="2"/>
      </rPr>
      <t>days</t>
    </r>
    <r>
      <rPr>
        <sz val="9"/>
        <rFont val="Arial"/>
      </rPr>
      <t>) (see also turnover ratio)</t>
    </r>
  </si>
  <si>
    <r>
      <t xml:space="preserve"> Average days to sell inventory</t>
    </r>
    <r>
      <rPr>
        <sz val="9"/>
        <rFont val="Arial"/>
      </rPr>
      <t xml:space="preserve"> (see also turnover ratio)</t>
    </r>
  </si>
  <si>
    <r>
      <t xml:space="preserve"> Company market capitalization-to-total liabilities ratio (the “financial structure” variable, X</t>
    </r>
    <r>
      <rPr>
        <vertAlign val="subscript"/>
        <sz val="9"/>
        <rFont val="Arial"/>
        <family val="2"/>
      </rPr>
      <t>4</t>
    </r>
    <r>
      <rPr>
        <sz val="9"/>
        <rFont val="Arial"/>
      </rPr>
      <t>)</t>
    </r>
  </si>
  <si>
    <r>
      <t xml:space="preserve"> Times interest earned</t>
    </r>
    <r>
      <rPr>
        <sz val="9"/>
        <rFont val="Arial"/>
      </rPr>
      <t xml:space="preserve"> (</t>
    </r>
    <r>
      <rPr>
        <b/>
        <sz val="9"/>
        <rFont val="Arial"/>
        <family val="2"/>
      </rPr>
      <t>interest coverage</t>
    </r>
    <r>
      <rPr>
        <sz val="9"/>
        <rFont val="Arial"/>
      </rPr>
      <t xml:space="preserve">) </t>
    </r>
    <r>
      <rPr>
        <b/>
        <sz val="9"/>
        <rFont val="Arial"/>
        <family val="2"/>
      </rPr>
      <t>ratio</t>
    </r>
  </si>
  <si>
    <r>
      <t xml:space="preserve"> SG&amp;A</t>
    </r>
    <r>
      <rPr>
        <sz val="9"/>
        <rFont val="Arial"/>
      </rPr>
      <t>-</t>
    </r>
    <r>
      <rPr>
        <b/>
        <sz val="9"/>
        <rFont val="Arial"/>
        <family val="2"/>
      </rPr>
      <t>to</t>
    </r>
    <r>
      <rPr>
        <sz val="9"/>
        <rFont val="Arial"/>
      </rPr>
      <t>-</t>
    </r>
    <r>
      <rPr>
        <b/>
        <sz val="9"/>
        <rFont val="Arial"/>
        <family val="2"/>
      </rPr>
      <t>sales ratio</t>
    </r>
  </si>
  <si>
    <t>SG&amp;A expense (exclud. D&amp;A, advertising and R&amp;D expense)</t>
  </si>
  <si>
    <t>Total other income (expense)</t>
  </si>
  <si>
    <t>Advertising expense</t>
  </si>
  <si>
    <t>R&amp;D expense</t>
  </si>
  <si>
    <t>Average inventory</t>
  </si>
  <si>
    <r>
      <t xml:space="preserve"> Price</t>
    </r>
    <r>
      <rPr>
        <sz val="9"/>
        <rFont val="Arial"/>
      </rPr>
      <t>-</t>
    </r>
    <r>
      <rPr>
        <b/>
        <sz val="9"/>
        <rFont val="Arial"/>
        <family val="2"/>
      </rPr>
      <t>book</t>
    </r>
    <r>
      <rPr>
        <sz val="9"/>
        <rFont val="Arial"/>
      </rPr>
      <t xml:space="preserve"> (</t>
    </r>
    <r>
      <rPr>
        <b/>
        <sz val="9"/>
        <rFont val="Arial"/>
        <family val="2"/>
      </rPr>
      <t>P</t>
    </r>
    <r>
      <rPr>
        <sz val="9"/>
        <rFont val="Arial"/>
      </rPr>
      <t>-</t>
    </r>
    <r>
      <rPr>
        <b/>
        <sz val="9"/>
        <rFont val="Arial"/>
        <family val="2"/>
      </rPr>
      <t>B</t>
    </r>
    <r>
      <rPr>
        <sz val="9"/>
        <rFont val="Arial"/>
      </rPr>
      <t xml:space="preserve">) </t>
    </r>
    <r>
      <rPr>
        <b/>
        <sz val="9"/>
        <rFont val="Arial"/>
        <family val="2"/>
      </rPr>
      <t>ratio</t>
    </r>
  </si>
  <si>
    <r>
      <t xml:space="preserve"> Price</t>
    </r>
    <r>
      <rPr>
        <sz val="9"/>
        <rFont val="Arial"/>
      </rPr>
      <t>-</t>
    </r>
    <r>
      <rPr>
        <b/>
        <sz val="9"/>
        <rFont val="Arial"/>
        <family val="2"/>
      </rPr>
      <t>earnings</t>
    </r>
    <r>
      <rPr>
        <sz val="9"/>
        <rFont val="Arial"/>
      </rPr>
      <t xml:space="preserve"> (</t>
    </r>
    <r>
      <rPr>
        <b/>
        <sz val="9"/>
        <rFont val="Arial"/>
        <family val="2"/>
      </rPr>
      <t>P</t>
    </r>
    <r>
      <rPr>
        <sz val="9"/>
        <rFont val="Arial"/>
      </rPr>
      <t>-</t>
    </r>
    <r>
      <rPr>
        <b/>
        <sz val="9"/>
        <rFont val="Arial"/>
        <family val="2"/>
      </rPr>
      <t>E</t>
    </r>
    <r>
      <rPr>
        <sz val="9"/>
        <rFont val="Arial"/>
      </rPr>
      <t xml:space="preserve">) </t>
    </r>
    <r>
      <rPr>
        <b/>
        <sz val="9"/>
        <rFont val="Arial"/>
        <family val="2"/>
      </rPr>
      <t>ratio</t>
    </r>
  </si>
  <si>
    <t>PP&amp;E turnover</t>
  </si>
  <si>
    <r>
      <t xml:space="preserve"> Other operating expense</t>
    </r>
    <r>
      <rPr>
        <sz val="9"/>
        <rFont val="Arial"/>
      </rPr>
      <t>-</t>
    </r>
    <r>
      <rPr>
        <b/>
        <sz val="9"/>
        <rFont val="Arial"/>
        <family val="2"/>
      </rPr>
      <t>to</t>
    </r>
    <r>
      <rPr>
        <sz val="9"/>
        <rFont val="Arial"/>
      </rPr>
      <t>-</t>
    </r>
    <r>
      <rPr>
        <b/>
        <sz val="9"/>
        <rFont val="Arial"/>
        <family val="2"/>
      </rPr>
      <t>sales ratio</t>
    </r>
  </si>
  <si>
    <r>
      <t xml:space="preserve"> Reconciling items </t>
    </r>
    <r>
      <rPr>
        <sz val="8"/>
        <rFont val="Arial"/>
        <family val="2"/>
      </rPr>
      <t xml:space="preserve">(amounts </t>
    </r>
    <r>
      <rPr>
        <u/>
        <sz val="8"/>
        <rFont val="Arial"/>
        <family val="2"/>
      </rPr>
      <t>before</t>
    </r>
    <r>
      <rPr>
        <sz val="8"/>
        <rFont val="Arial"/>
        <family val="2"/>
      </rPr>
      <t xml:space="preserve"> analysis adjustments):</t>
    </r>
  </si>
  <si>
    <t>OCF (as reported in company's SCFs)</t>
  </si>
  <si>
    <t>Reconciliation of NI to OCF</t>
  </si>
  <si>
    <t>Operating Lease Commitment Analysis Adjustment</t>
  </si>
  <si>
    <t>Operating Lease Commitment Analysis Adjustment (Key Competitor)</t>
  </si>
  <si>
    <t>Fundamental Analysis - Estimated Intrinsic Fair Value</t>
  </si>
  <si>
    <t>of Common Equity using Residual Income Model</t>
  </si>
  <si>
    <t>Total cash-and-equivalents, invest. securities, and AR</t>
  </si>
  <si>
    <t>Inventory</t>
  </si>
  <si>
    <r>
      <t xml:space="preserve"> COS </t>
    </r>
    <r>
      <rPr>
        <u/>
        <sz val="9"/>
        <rFont val="Arial"/>
        <family val="2"/>
      </rPr>
      <t>and</t>
    </r>
    <r>
      <rPr>
        <sz val="9"/>
        <rFont val="Arial"/>
      </rPr>
      <t xml:space="preserve"> total operating expenses</t>
    </r>
  </si>
  <si>
    <r>
      <rPr>
        <i/>
        <sz val="9"/>
        <rFont val="Arial"/>
        <family val="2"/>
      </rPr>
      <t xml:space="preserve"> Less</t>
    </r>
    <r>
      <rPr>
        <sz val="9"/>
        <rFont val="Arial"/>
      </rPr>
      <t xml:space="preserve"> D&amp;A [OCF section of SCF provides]</t>
    </r>
  </si>
  <si>
    <r>
      <t xml:space="preserve"> Total (current and noncurrent) liabilities </t>
    </r>
    <r>
      <rPr>
        <u/>
        <sz val="9"/>
        <rFont val="Arial"/>
        <family val="2"/>
      </rPr>
      <t>and</t>
    </r>
    <r>
      <rPr>
        <sz val="9"/>
        <rFont val="Arial"/>
      </rPr>
      <t xml:space="preserve"> preferred stock</t>
    </r>
  </si>
  <si>
    <r>
      <t xml:space="preserve"> Total noncurrent liabilities </t>
    </r>
    <r>
      <rPr>
        <u/>
        <sz val="9"/>
        <rFont val="Arial"/>
        <family val="2"/>
      </rPr>
      <t>and</t>
    </r>
    <r>
      <rPr>
        <sz val="9"/>
        <rFont val="Arial"/>
      </rPr>
      <t xml:space="preserve"> preferred stock</t>
    </r>
  </si>
  <si>
    <t>Income tax provision (i.e., taxes on income from contin oper's)</t>
  </si>
  <si>
    <t>Total other expense (income)</t>
  </si>
  <si>
    <t>Income from contin oper's available to common stockholders</t>
  </si>
  <si>
    <t>Analysis of trend and relationship to other ratios' trends, comparisons to key competitor and industry average ratios</t>
  </si>
  <si>
    <t>Mergent Online Comparison</t>
  </si>
  <si>
    <t>Industry Group Ratios - Year:</t>
  </si>
  <si>
    <t xml:space="preserve">NAICS Code: </t>
  </si>
  <si>
    <t>Company Name</t>
  </si>
  <si>
    <t>CHECK: Compute averages</t>
  </si>
  <si>
    <t>Average (unweighted)</t>
  </si>
  <si>
    <t xml:space="preserve"> Current (working capital) ratio</t>
  </si>
  <si>
    <t>Acid-test (quick) ratio</t>
  </si>
  <si>
    <t>Avg days purch in AP/accr'd liab</t>
  </si>
  <si>
    <t>TIE (Interest Coverage)</t>
  </si>
  <si>
    <t>OCF-to-L-T debt ratio</t>
  </si>
  <si>
    <t>ROA</t>
  </si>
  <si>
    <t>SG&amp;A-to-sales</t>
  </si>
  <si>
    <t>L-T debt-to-equity</t>
  </si>
  <si>
    <t>Total debt-to-equity</t>
  </si>
  <si>
    <t>Average days to sell inventory</t>
  </si>
  <si>
    <t>Avg AR collection period (days)</t>
  </si>
  <si>
    <t>Other oper exp-to-sales</t>
  </si>
  <si>
    <t>Bonds, net discount [or, plus premium]</t>
  </si>
  <si>
    <t>Other noncurrent liabilities</t>
  </si>
  <si>
    <t>Gross margin ratio</t>
  </si>
  <si>
    <r>
      <t xml:space="preserve"> R&amp;D</t>
    </r>
    <r>
      <rPr>
        <sz val="9"/>
        <rFont val="Arial"/>
      </rPr>
      <t>-</t>
    </r>
    <r>
      <rPr>
        <b/>
        <sz val="9"/>
        <rFont val="Arial"/>
        <family val="2"/>
      </rPr>
      <t>to</t>
    </r>
    <r>
      <rPr>
        <sz val="9"/>
        <rFont val="Arial"/>
      </rPr>
      <t>-</t>
    </r>
    <r>
      <rPr>
        <b/>
        <sz val="9"/>
        <rFont val="Arial"/>
        <family val="2"/>
      </rPr>
      <t>sales ratio</t>
    </r>
  </si>
  <si>
    <t>R&amp;D-to-sales</t>
  </si>
  <si>
    <r>
      <t xml:space="preserve"> Advertising</t>
    </r>
    <r>
      <rPr>
        <sz val="9"/>
        <rFont val="Arial"/>
      </rPr>
      <t>-</t>
    </r>
    <r>
      <rPr>
        <b/>
        <sz val="9"/>
        <rFont val="Arial"/>
        <family val="2"/>
      </rPr>
      <t>to</t>
    </r>
    <r>
      <rPr>
        <sz val="9"/>
        <rFont val="Arial"/>
      </rPr>
      <t>-</t>
    </r>
    <r>
      <rPr>
        <b/>
        <sz val="9"/>
        <rFont val="Arial"/>
        <family val="2"/>
      </rPr>
      <t>sales ratio</t>
    </r>
  </si>
  <si>
    <t>Advert-to-sales</t>
  </si>
  <si>
    <t>Operating margin ratio</t>
  </si>
  <si>
    <r>
      <t xml:space="preserve"> Pre</t>
    </r>
    <r>
      <rPr>
        <sz val="9"/>
        <rFont val="Arial"/>
      </rPr>
      <t>-</t>
    </r>
    <r>
      <rPr>
        <b/>
        <sz val="9"/>
        <rFont val="Arial"/>
        <family val="2"/>
      </rPr>
      <t>tax operating margin ratio</t>
    </r>
  </si>
  <si>
    <t>Net margin ratio</t>
  </si>
  <si>
    <t>AP and accrued liabilities turnover ratio</t>
  </si>
  <si>
    <t>Inventory turnover ratio</t>
  </si>
  <si>
    <t>AR turnover ratio</t>
  </si>
  <si>
    <t>PP&amp;E turnover ratio</t>
  </si>
  <si>
    <t>Total asset turnover ratio</t>
  </si>
  <si>
    <t>AP and accr'd liab turnover</t>
  </si>
  <si>
    <t>Expected value</t>
  </si>
  <si>
    <t>FY</t>
  </si>
  <si>
    <t>Percent change</t>
  </si>
  <si>
    <t>5-FY CAGR</t>
  </si>
  <si>
    <t>[Overall sales growth trend] (computation at right)]</t>
  </si>
  <si>
    <t>Supporting analysis and computations:</t>
  </si>
  <si>
    <t>Reported net sales</t>
  </si>
  <si>
    <t xml:space="preserve"> RNOA and ROCE Analysis (continued)</t>
  </si>
  <si>
    <r>
      <t xml:space="preserve"> Net Operating Profit after Taxes</t>
    </r>
    <r>
      <rPr>
        <sz val="8"/>
        <rFont val="Arial"/>
        <family val="2"/>
      </rPr>
      <t xml:space="preserve"> (</t>
    </r>
    <r>
      <rPr>
        <b/>
        <sz val="8"/>
        <rFont val="Arial"/>
        <family val="2"/>
      </rPr>
      <t>NOPAT</t>
    </r>
    <r>
      <rPr>
        <sz val="8"/>
        <rFont val="Arial"/>
        <family val="2"/>
      </rPr>
      <t>)</t>
    </r>
  </si>
  <si>
    <r>
      <t xml:space="preserve"> Common Equity </t>
    </r>
    <r>
      <rPr>
        <sz val="8"/>
        <rFont val="Arial"/>
        <family val="2"/>
      </rPr>
      <t>(</t>
    </r>
    <r>
      <rPr>
        <b/>
        <sz val="8"/>
        <rFont val="Arial"/>
        <family val="2"/>
      </rPr>
      <t>CE</t>
    </r>
    <r>
      <rPr>
        <sz val="8"/>
        <rFont val="Arial"/>
        <family val="2"/>
      </rPr>
      <t>)</t>
    </r>
  </si>
  <si>
    <r>
      <t xml:space="preserve"> Net Financial Obligations </t>
    </r>
    <r>
      <rPr>
        <sz val="8"/>
        <rFont val="Arial"/>
        <family val="2"/>
      </rPr>
      <t>(</t>
    </r>
    <r>
      <rPr>
        <b/>
        <sz val="8"/>
        <rFont val="Arial"/>
        <family val="2"/>
      </rPr>
      <t>NFO</t>
    </r>
    <r>
      <rPr>
        <sz val="8"/>
        <rFont val="Arial"/>
        <family val="2"/>
      </rPr>
      <t>)</t>
    </r>
  </si>
  <si>
    <r>
      <rPr>
        <sz val="9"/>
        <color indexed="18"/>
        <rFont val="Arial Narrow"/>
        <family val="2"/>
      </rPr>
      <t>Beg.</t>
    </r>
    <r>
      <rPr>
        <b/>
        <sz val="9"/>
        <color indexed="18"/>
        <rFont val="Arial Narrow"/>
        <family val="2"/>
      </rPr>
      <t xml:space="preserve"> I / </t>
    </r>
    <r>
      <rPr>
        <sz val="9"/>
        <color indexed="18"/>
        <rFont val="Arial Narrow"/>
        <family val="2"/>
      </rPr>
      <t>last</t>
    </r>
    <r>
      <rPr>
        <b/>
        <sz val="9"/>
        <color indexed="18"/>
        <rFont val="Arial Narrow"/>
        <family val="2"/>
      </rPr>
      <t xml:space="preserve"> n</t>
    </r>
  </si>
  <si>
    <t>Future</t>
  </si>
  <si>
    <t>Company's</t>
  </si>
  <si>
    <t>Present</t>
  </si>
  <si>
    <t>Reduction</t>
  </si>
  <si>
    <t>Undeprec.</t>
  </si>
  <si>
    <t>Deprec.</t>
  </si>
  <si>
    <t>year</t>
  </si>
  <si>
    <t>fiscal</t>
  </si>
  <si>
    <t>value</t>
  </si>
  <si>
    <t>Implicit</t>
  </si>
  <si>
    <t>of lease</t>
  </si>
  <si>
    <t>lease</t>
  </si>
  <si>
    <t>(amortiz.)</t>
  </si>
  <si>
    <t>Discount factor</t>
  </si>
  <si>
    <t>of MLP</t>
  </si>
  <si>
    <t>interest</t>
  </si>
  <si>
    <t>obligation</t>
  </si>
  <si>
    <t>asset</t>
  </si>
  <si>
    <t>Totals</t>
  </si>
  <si>
    <t>K</t>
  </si>
  <si>
    <t>L</t>
  </si>
  <si>
    <t xml:space="preserve">M   </t>
  </si>
  <si>
    <t>N</t>
  </si>
  <si>
    <t>O</t>
  </si>
  <si>
    <t>P</t>
  </si>
  <si>
    <t>Q</t>
  </si>
  <si>
    <t>From B</t>
  </si>
  <si>
    <t>From C</t>
  </si>
  <si>
    <t>From F</t>
  </si>
  <si>
    <t>From J</t>
  </si>
  <si>
    <r>
      <t xml:space="preserve">M </t>
    </r>
    <r>
      <rPr>
        <sz val="9"/>
        <color indexed="18"/>
        <rFont val="Arial Narrow"/>
        <family val="2"/>
      </rPr>
      <t>+</t>
    </r>
    <r>
      <rPr>
        <b/>
        <sz val="9"/>
        <color indexed="18"/>
        <rFont val="Arial Narrow"/>
        <family val="2"/>
      </rPr>
      <t xml:space="preserve"> N</t>
    </r>
  </si>
  <si>
    <t>O – L</t>
  </si>
  <si>
    <r>
      <t xml:space="preserve">P </t>
    </r>
    <r>
      <rPr>
        <sz val="9"/>
        <color indexed="18"/>
        <rFont val="Arial Narrow"/>
        <family val="2"/>
      </rPr>
      <t xml:space="preserve">x </t>
    </r>
    <r>
      <rPr>
        <b/>
        <sz val="9"/>
        <color indexed="18"/>
        <rFont val="Arial Narrow"/>
        <family val="2"/>
      </rPr>
      <t>(1 – tax rate)</t>
    </r>
  </si>
  <si>
    <t>Capital lease vs. Oper. lease</t>
  </si>
  <si>
    <t>accounting</t>
  </si>
  <si>
    <t>Pre-tax</t>
  </si>
  <si>
    <t>After-tax</t>
  </si>
  <si>
    <t>(rent expense)</t>
  </si>
  <si>
    <t>effect</t>
  </si>
  <si>
    <t>NI effect</t>
  </si>
  <si>
    <t>FY of BS and Form 10-K:</t>
  </si>
  <si>
    <t>$</t>
  </si>
  <si>
    <r>
      <t xml:space="preserve"> Estimated number of years in "thereafter" period: </t>
    </r>
    <r>
      <rPr>
        <b/>
        <sz val="9"/>
        <rFont val="Arial"/>
        <family val="2"/>
      </rPr>
      <t>(A)</t>
    </r>
    <r>
      <rPr>
        <sz val="9"/>
        <rFont val="Arial"/>
      </rPr>
      <t xml:space="preserve"> divide </t>
    </r>
    <r>
      <rPr>
        <b/>
        <sz val="9"/>
        <rFont val="Arial"/>
        <family val="2"/>
      </rPr>
      <t>(B)</t>
    </r>
  </si>
  <si>
    <r>
      <t xml:space="preserve"> Estimated total number of years, </t>
    </r>
    <r>
      <rPr>
        <i/>
        <sz val="9"/>
        <rFont val="Arial"/>
        <family val="2"/>
      </rPr>
      <t>n</t>
    </r>
  </si>
  <si>
    <r>
      <t>(</t>
    </r>
    <r>
      <rPr>
        <b/>
        <i/>
        <sz val="9"/>
        <rFont val="Arial Narrow"/>
        <family val="2"/>
      </rPr>
      <t>n</t>
    </r>
    <r>
      <rPr>
        <b/>
        <sz val="9"/>
        <rFont val="Arial Narrow"/>
        <family val="2"/>
      </rPr>
      <t>)</t>
    </r>
  </si>
  <si>
    <t xml:space="preserve"> Ensure total debits equals total credits!</t>
  </si>
  <si>
    <t xml:space="preserve"> Analysis adjustment to balance sheet for FY</t>
  </si>
  <si>
    <t xml:space="preserve"> Dr. PP&amp;E, at cost</t>
  </si>
  <si>
    <t xml:space="preserve">       Cr. Capital lease obligation–current (current liabilities)</t>
  </si>
  <si>
    <t xml:space="preserve">       Cr. Capital lease obligation–noncurrent (noncurrent liabilities)</t>
  </si>
  <si>
    <t>Analysis adjustment to income statement of</t>
  </si>
  <si>
    <r>
      <t xml:space="preserve"> Total debt</t>
    </r>
    <r>
      <rPr>
        <sz val="9"/>
        <rFont val="Arial"/>
      </rPr>
      <t>-</t>
    </r>
    <r>
      <rPr>
        <b/>
        <sz val="9"/>
        <rFont val="Arial"/>
        <family val="2"/>
      </rPr>
      <t>to</t>
    </r>
    <r>
      <rPr>
        <sz val="9"/>
        <rFont val="Arial"/>
      </rPr>
      <t>-</t>
    </r>
    <r>
      <rPr>
        <b/>
        <sz val="9"/>
        <rFont val="Arial"/>
        <family val="2"/>
      </rPr>
      <t>equity</t>
    </r>
    <r>
      <rPr>
        <sz val="9"/>
        <rFont val="Arial"/>
      </rPr>
      <t xml:space="preserve"> (</t>
    </r>
    <r>
      <rPr>
        <b/>
        <sz val="9"/>
        <rFont val="Arial"/>
        <family val="2"/>
      </rPr>
      <t>total debt</t>
    </r>
    <r>
      <rPr>
        <sz val="9"/>
        <rFont val="Arial"/>
      </rPr>
      <t xml:space="preserve">) </t>
    </r>
    <r>
      <rPr>
        <b/>
        <sz val="9"/>
        <rFont val="Arial"/>
        <family val="2"/>
      </rPr>
      <t>ratio</t>
    </r>
  </si>
  <si>
    <r>
      <t>L</t>
    </r>
    <r>
      <rPr>
        <sz val="9"/>
        <rFont val="Arial"/>
      </rPr>
      <t>-</t>
    </r>
    <r>
      <rPr>
        <b/>
        <sz val="9"/>
        <rFont val="Arial"/>
        <family val="2"/>
      </rPr>
      <t>T debt-to-equity ratio</t>
    </r>
  </si>
  <si>
    <t xml:space="preserve"> Dr. Depreciation (or amortization) expense</t>
  </si>
  <si>
    <t xml:space="preserve">       Cr. Rent expense (included in SG&amp;A expense, COS, or both)</t>
  </si>
  <si>
    <r>
      <t xml:space="preserve"> Fiscal year </t>
    </r>
    <r>
      <rPr>
        <sz val="8"/>
        <rFont val="Arial"/>
        <family val="2"/>
      </rPr>
      <t xml:space="preserve">(amounts </t>
    </r>
    <r>
      <rPr>
        <b/>
        <sz val="8"/>
        <rFont val="Arial"/>
        <family val="2"/>
      </rPr>
      <t>before</t>
    </r>
    <r>
      <rPr>
        <b/>
        <u val="singleAccounting"/>
        <sz val="8"/>
        <rFont val="Arial"/>
        <family val="2"/>
      </rPr>
      <t xml:space="preserve"> </t>
    </r>
    <r>
      <rPr>
        <sz val="8"/>
        <rFont val="Arial"/>
        <family val="2"/>
      </rPr>
      <t>analysis adjustments) (</t>
    </r>
    <r>
      <rPr>
        <b/>
        <sz val="8"/>
        <rFont val="Arial"/>
        <family val="2"/>
      </rPr>
      <t>1</t>
    </r>
    <r>
      <rPr>
        <sz val="8"/>
        <rFont val="Arial"/>
        <family val="2"/>
      </rPr>
      <t>)</t>
    </r>
  </si>
  <si>
    <r>
      <t xml:space="preserve"> (</t>
    </r>
    <r>
      <rPr>
        <b/>
        <sz val="9"/>
        <rFont val="Arial"/>
        <family val="2"/>
      </rPr>
      <t>1</t>
    </r>
    <r>
      <rPr>
        <sz val="9"/>
        <rFont val="Arial"/>
      </rPr>
      <t>)</t>
    </r>
    <r>
      <rPr>
        <b/>
        <sz val="9"/>
        <rFont val="Arial"/>
        <family val="2"/>
      </rPr>
      <t xml:space="preserve"> </t>
    </r>
    <r>
      <rPr>
        <sz val="9"/>
        <rFont val="Arial"/>
      </rPr>
      <t>Includes</t>
    </r>
    <r>
      <rPr>
        <i/>
        <sz val="9"/>
        <rFont val="Arial"/>
        <family val="2"/>
      </rPr>
      <t xml:space="preserve"> </t>
    </r>
    <r>
      <rPr>
        <sz val="9"/>
        <rFont val="Arial"/>
      </rPr>
      <t xml:space="preserve">dividends due (whether or not paid) on any </t>
    </r>
    <r>
      <rPr>
        <b/>
        <sz val="9"/>
        <rFont val="Arial"/>
        <family val="2"/>
      </rPr>
      <t>cumulative</t>
    </r>
    <r>
      <rPr>
        <sz val="9"/>
        <rFont val="Arial"/>
      </rPr>
      <t xml:space="preserve"> preferred stock outstanding </t>
    </r>
    <r>
      <rPr>
        <u/>
        <sz val="9"/>
        <rFont val="Arial"/>
        <family val="2"/>
      </rPr>
      <t/>
    </r>
  </si>
  <si>
    <r>
      <t xml:space="preserve"> (</t>
    </r>
    <r>
      <rPr>
        <b/>
        <sz val="9"/>
        <rFont val="Arial"/>
        <family val="2"/>
      </rPr>
      <t>2</t>
    </r>
    <r>
      <rPr>
        <sz val="9"/>
        <rFont val="Arial"/>
      </rPr>
      <t>) Includes</t>
    </r>
    <r>
      <rPr>
        <i/>
        <sz val="9"/>
        <rFont val="Arial"/>
        <family val="2"/>
      </rPr>
      <t xml:space="preserve"> "regular" </t>
    </r>
    <r>
      <rPr>
        <sz val="9"/>
        <rFont val="Arial"/>
      </rPr>
      <t>(</t>
    </r>
    <r>
      <rPr>
        <u/>
        <sz val="9"/>
        <rFont val="Arial"/>
        <family val="2"/>
      </rPr>
      <t>not</t>
    </r>
    <r>
      <rPr>
        <sz val="9"/>
        <rFont val="Arial"/>
      </rPr>
      <t xml:space="preserve"> "special")</t>
    </r>
    <r>
      <rPr>
        <i/>
        <sz val="9"/>
        <rFont val="Arial"/>
        <family val="2"/>
      </rPr>
      <t xml:space="preserve"> </t>
    </r>
    <r>
      <rPr>
        <sz val="9"/>
        <rFont val="Arial"/>
      </rPr>
      <t>dividends paid on the company's common stock</t>
    </r>
  </si>
  <si>
    <r>
      <t xml:space="preserve"> Estimated "excess" C&amp;CE [</t>
    </r>
    <r>
      <rPr>
        <b/>
        <sz val="9"/>
        <rFont val="Arial Narrow"/>
        <family val="2"/>
      </rPr>
      <t>Lesser of (E) or (F)</t>
    </r>
    <r>
      <rPr>
        <sz val="9"/>
        <rFont val="Arial"/>
      </rPr>
      <t>]</t>
    </r>
  </si>
  <si>
    <t>RNOA and ROCE Analysis (continued)</t>
  </si>
  <si>
    <t xml:space="preserve"> Estimated "Excess" Cash and Cash Equivalents</t>
  </si>
  <si>
    <r>
      <t xml:space="preserve"> Effective tax rate,</t>
    </r>
    <r>
      <rPr>
        <b/>
        <i/>
        <sz val="9"/>
        <rFont val="Arial"/>
        <family val="2"/>
      </rPr>
      <t xml:space="preserve"> t</t>
    </r>
    <r>
      <rPr>
        <sz val="9"/>
        <rFont val="Arial"/>
      </rPr>
      <t xml:space="preserve"> (2)</t>
    </r>
  </si>
  <si>
    <t xml:space="preserve"> Average days to sell inventory</t>
  </si>
  <si>
    <t>Disaggregated NOPAT margin ratio</t>
  </si>
  <si>
    <r>
      <t xml:space="preserve"> Leverage </t>
    </r>
    <r>
      <rPr>
        <sz val="9"/>
        <rFont val="Arial"/>
      </rPr>
      <t>(</t>
    </r>
    <r>
      <rPr>
        <b/>
        <sz val="9"/>
        <rFont val="Arial"/>
        <family val="2"/>
      </rPr>
      <t>LEV</t>
    </r>
    <r>
      <rPr>
        <sz val="9"/>
        <rFont val="Arial"/>
      </rPr>
      <t>)</t>
    </r>
  </si>
  <si>
    <t>Check figure: should be zero; if not, locate and correct error(s)</t>
  </si>
  <si>
    <r>
      <t xml:space="preserve"> </t>
    </r>
    <r>
      <rPr>
        <b/>
        <sz val="9"/>
        <color indexed="18"/>
        <rFont val="Arial"/>
        <family val="2"/>
      </rPr>
      <t>(A)</t>
    </r>
    <r>
      <rPr>
        <sz val="9"/>
        <color indexed="18"/>
        <rFont val="Arial"/>
        <family val="2"/>
      </rPr>
      <t xml:space="preserve"> Capitalize </t>
    </r>
    <r>
      <rPr>
        <b/>
        <sz val="9"/>
        <color indexed="18"/>
        <rFont val="Arial"/>
        <family val="2"/>
      </rPr>
      <t>operating lease commitments</t>
    </r>
    <r>
      <rPr>
        <sz val="9"/>
        <color indexed="18"/>
        <rFont val="Arial"/>
        <family val="2"/>
      </rPr>
      <t xml:space="preserve"> (</t>
    </r>
    <r>
      <rPr>
        <u/>
        <sz val="9"/>
        <color indexed="18"/>
        <rFont val="Arial"/>
        <family val="2"/>
      </rPr>
      <t>see</t>
    </r>
    <r>
      <rPr>
        <sz val="9"/>
        <color indexed="18"/>
        <rFont val="Arial"/>
        <family val="2"/>
      </rPr>
      <t xml:space="preserve"> balance sheet for related adjustments)</t>
    </r>
  </si>
  <si>
    <r>
      <t xml:space="preserve"> </t>
    </r>
    <r>
      <rPr>
        <b/>
        <sz val="9"/>
        <color indexed="18"/>
        <rFont val="Arial"/>
        <family val="2"/>
      </rPr>
      <t>(B)</t>
    </r>
    <r>
      <rPr>
        <sz val="9"/>
        <color indexed="18"/>
        <rFont val="Arial"/>
        <family val="2"/>
      </rPr>
      <t xml:space="preserve"> </t>
    </r>
    <r>
      <rPr>
        <u/>
        <sz val="9"/>
        <color indexed="18"/>
        <rFont val="Arial"/>
        <family val="2"/>
      </rPr>
      <t>See</t>
    </r>
    <r>
      <rPr>
        <sz val="9"/>
        <color indexed="18"/>
        <rFont val="Arial"/>
        <family val="2"/>
      </rPr>
      <t xml:space="preserve"> balance sheet for adjustment to recognize oblig's under </t>
    </r>
    <r>
      <rPr>
        <b/>
        <sz val="9"/>
        <color indexed="18"/>
        <rFont val="Arial"/>
        <family val="2"/>
      </rPr>
      <t>noncancellable, fixed-price vendor supply agreements</t>
    </r>
  </si>
  <si>
    <r>
      <t xml:space="preserve"> Fiscal year </t>
    </r>
    <r>
      <rPr>
        <sz val="8"/>
        <rFont val="Arial"/>
        <family val="2"/>
      </rPr>
      <t xml:space="preserve">(amounts </t>
    </r>
    <r>
      <rPr>
        <b/>
        <sz val="8"/>
        <rFont val="Arial"/>
        <family val="2"/>
      </rPr>
      <t>before</t>
    </r>
    <r>
      <rPr>
        <b/>
        <u val="singleAccounting"/>
        <sz val="8"/>
        <rFont val="Arial"/>
        <family val="2"/>
      </rPr>
      <t xml:space="preserve"> </t>
    </r>
    <r>
      <rPr>
        <sz val="8"/>
        <rFont val="Arial"/>
        <family val="2"/>
      </rPr>
      <t>analysis adjustments)</t>
    </r>
  </si>
  <si>
    <t>For use in helping to prepare table included in Section 6 of report.</t>
  </si>
  <si>
    <t>Fiscal year ended</t>
  </si>
  <si>
    <r>
      <t xml:space="preserve"> </t>
    </r>
    <r>
      <rPr>
        <i/>
        <sz val="9"/>
        <rFont val="Arial"/>
        <family val="2"/>
      </rPr>
      <t>Less</t>
    </r>
    <r>
      <rPr>
        <sz val="9"/>
        <rFont val="Arial"/>
      </rPr>
      <t xml:space="preserve">: Preferred stock dividends </t>
    </r>
    <r>
      <rPr>
        <b/>
        <sz val="9"/>
        <rFont val="Arial"/>
        <family val="2"/>
      </rPr>
      <t>(1)</t>
    </r>
  </si>
  <si>
    <r>
      <t xml:space="preserve"> </t>
    </r>
    <r>
      <rPr>
        <i/>
        <sz val="9"/>
        <rFont val="Arial"/>
        <family val="2"/>
      </rPr>
      <t>Less</t>
    </r>
    <r>
      <rPr>
        <sz val="9"/>
        <rFont val="Arial"/>
      </rPr>
      <t xml:space="preserve">: "Regular" common stock dividends </t>
    </r>
    <r>
      <rPr>
        <b/>
        <sz val="9"/>
        <rFont val="Arial"/>
        <family val="2"/>
      </rPr>
      <t>(2)</t>
    </r>
  </si>
  <si>
    <t>Income from contin. oper., incl. noncontrol. interests</t>
  </si>
  <si>
    <t>Income from continuing operations</t>
  </si>
  <si>
    <t>Section 3</t>
  </si>
  <si>
    <t>Projected FS</t>
  </si>
  <si>
    <t>Section 6</t>
  </si>
  <si>
    <t>Section 7</t>
  </si>
  <si>
    <t>Average NOA</t>
  </si>
  <si>
    <t xml:space="preserve">Current (working capital) ratio </t>
  </si>
  <si>
    <t>Total current assets (CA) (above)</t>
  </si>
  <si>
    <t>Total current liabilities (above)</t>
  </si>
  <si>
    <t>Estimated "normal" amount of total CA</t>
  </si>
  <si>
    <t>Total reported CA less estimated “normal” CA</t>
  </si>
  <si>
    <t>Reported balance of C&amp;CE (from balance sheet)</t>
  </si>
  <si>
    <t>Estimated "normal" balance of C&amp;CE</t>
  </si>
  <si>
    <t>Average NFO</t>
  </si>
  <si>
    <t>Average CE</t>
  </si>
  <si>
    <t>Income from contin oper, incl noncontrol int</t>
  </si>
  <si>
    <t>Operating cash inflow (outflow) (OCF)</t>
  </si>
  <si>
    <t>Net (profit) margin</t>
  </si>
  <si>
    <t>AR turnover Ratio</t>
  </si>
  <si>
    <r>
      <t xml:space="preserve"> Return on assets</t>
    </r>
    <r>
      <rPr>
        <sz val="9"/>
        <rFont val="Arial"/>
      </rPr>
      <t xml:space="preserve"> (</t>
    </r>
    <r>
      <rPr>
        <b/>
        <sz val="9"/>
        <rFont val="Arial"/>
        <family val="2"/>
      </rPr>
      <t>ROA</t>
    </r>
    <r>
      <rPr>
        <sz val="9"/>
        <rFont val="Arial"/>
      </rPr>
      <t xml:space="preserve">) </t>
    </r>
    <r>
      <rPr>
        <b/>
        <sz val="9"/>
        <rFont val="Arial"/>
        <family val="2"/>
      </rPr>
      <t>ratio</t>
    </r>
  </si>
  <si>
    <t>Net cash provided (used) by invest activities</t>
  </si>
  <si>
    <t>Proceeds exer of ESOs, excess tax benefits</t>
  </si>
  <si>
    <t>Effect exchng rate changes on cash/equiv's</t>
  </si>
  <si>
    <t>Cash and cash equivalents at end of FY</t>
  </si>
  <si>
    <t>Cash and cash equivalents at begin of FY</t>
  </si>
  <si>
    <t>Consolidated Cash Flows Statements (SCFs)</t>
  </si>
  <si>
    <t>Analysis of trend and relationship to other ratios' trends</t>
  </si>
  <si>
    <t>Projection methodology</t>
  </si>
  <si>
    <t>Sale Projection Analysis</t>
  </si>
  <si>
    <t>FY projected:</t>
  </si>
  <si>
    <t>Projected sales</t>
  </si>
  <si>
    <t>Confidence weighting</t>
  </si>
  <si>
    <r>
      <t xml:space="preserve"> </t>
    </r>
    <r>
      <rPr>
        <b/>
        <sz val="9"/>
        <color indexed="18"/>
        <rFont val="Arial"/>
        <family val="2"/>
      </rPr>
      <t>(H)</t>
    </r>
    <r>
      <rPr>
        <sz val="9"/>
        <color indexed="18"/>
        <rFont val="Arial"/>
        <family val="2"/>
      </rPr>
      <t xml:space="preserve"> </t>
    </r>
    <r>
      <rPr>
        <u/>
        <sz val="9"/>
        <color indexed="18"/>
        <rFont val="Arial"/>
        <family val="2"/>
      </rPr>
      <t>See</t>
    </r>
    <r>
      <rPr>
        <sz val="9"/>
        <color indexed="18"/>
        <rFont val="Arial"/>
        <family val="2"/>
      </rPr>
      <t xml:space="preserve"> income statement for adjustment to </t>
    </r>
    <r>
      <rPr>
        <b/>
        <sz val="9"/>
        <color indexed="18"/>
        <rFont val="Arial"/>
        <family val="2"/>
      </rPr>
      <t>recast or eliminate asset impairment and restructuring charges</t>
    </r>
  </si>
  <si>
    <r>
      <t xml:space="preserve"> Combined effective tax rate </t>
    </r>
    <r>
      <rPr>
        <sz val="9"/>
        <rFont val="Arial"/>
      </rPr>
      <t>(above)</t>
    </r>
  </si>
  <si>
    <t>Income tax at US federal statutory rate</t>
  </si>
  <si>
    <t>US federal statutory rate</t>
  </si>
  <si>
    <t>State income taxes, net of federal tax benefit</t>
  </si>
  <si>
    <t>Average of past 6 years</t>
  </si>
  <si>
    <t>Tax rate differential on foreign income</t>
  </si>
  <si>
    <t>Average of past 2 years</t>
  </si>
  <si>
    <t>Federal tax credits</t>
  </si>
  <si>
    <t>Settlements in 20X2-20X4 relate to long-pending matters, now resolved</t>
  </si>
  <si>
    <t>Non-deductibility of goodwill impairment charge</t>
  </si>
  <si>
    <t>Sum projected rates, above</t>
  </si>
  <si>
    <r>
      <t xml:space="preserve"> Net Operating Assets</t>
    </r>
    <r>
      <rPr>
        <sz val="8"/>
        <rFont val="Arial"/>
        <family val="2"/>
      </rPr>
      <t xml:space="preserve"> (</t>
    </r>
    <r>
      <rPr>
        <b/>
        <sz val="8"/>
        <rFont val="Arial"/>
        <family val="2"/>
      </rPr>
      <t>NOA</t>
    </r>
    <r>
      <rPr>
        <sz val="8"/>
        <rFont val="Arial"/>
        <family val="2"/>
      </rPr>
      <t>)</t>
    </r>
  </si>
  <si>
    <r>
      <t xml:space="preserve"> Net Financial Expense</t>
    </r>
    <r>
      <rPr>
        <sz val="8"/>
        <rFont val="Arial"/>
        <family val="2"/>
      </rPr>
      <t xml:space="preserve"> (</t>
    </r>
    <r>
      <rPr>
        <b/>
        <sz val="8"/>
        <rFont val="Arial"/>
        <family val="2"/>
      </rPr>
      <t>NFE</t>
    </r>
    <r>
      <rPr>
        <sz val="8"/>
        <rFont val="Arial"/>
        <family val="2"/>
      </rPr>
      <t>)</t>
    </r>
  </si>
  <si>
    <t>Loss (gain) on sales of invest sec's AFS</t>
  </si>
  <si>
    <t>SG&amp;A expenses (excl D&amp;A and advertising)</t>
  </si>
  <si>
    <t>Gain (loss) on disposal of invest sec's AFS</t>
  </si>
  <si>
    <t>Total oper income (after analysis adjust's)</t>
  </si>
  <si>
    <t>Total financial exp (after analysis adjust's)</t>
  </si>
  <si>
    <t>CHECK: NOPAT Margin X NOA Turnover – RNOA</t>
  </si>
  <si>
    <t xml:space="preserve">Average NFO </t>
  </si>
  <si>
    <t>Average collection period (DSO)</t>
  </si>
  <si>
    <t>Gain (loss) on debt restruct/early extinguish</t>
  </si>
  <si>
    <t>Purch of marketable securities, invest's AFS</t>
  </si>
  <si>
    <t>Sales of marketable securities, invest's AFS</t>
  </si>
  <si>
    <t xml:space="preserve">Dividends paid–preferred and common </t>
  </si>
  <si>
    <t>Loss (gain) on debt restruct/early extinguish</t>
  </si>
  <si>
    <r>
      <t xml:space="preserve"> Direct computation </t>
    </r>
    <r>
      <rPr>
        <sz val="9"/>
        <rFont val="Arial"/>
      </rPr>
      <t>(See "ROI Ratios")</t>
    </r>
  </si>
  <si>
    <r>
      <t xml:space="preserve"> Indirect computation</t>
    </r>
    <r>
      <rPr>
        <sz val="9"/>
        <rFont val="Arial"/>
      </rPr>
      <t xml:space="preserve"> </t>
    </r>
    <r>
      <rPr>
        <sz val="10"/>
        <rFont val="Arial Narrow"/>
        <family val="2"/>
      </rPr>
      <t>[RNOA + (LEV X Spread)]</t>
    </r>
  </si>
  <si>
    <r>
      <t xml:space="preserve"> After-tax financial exp  </t>
    </r>
    <r>
      <rPr>
        <sz val="10"/>
        <rFont val="Arial Narrow"/>
        <family val="2"/>
      </rPr>
      <t xml:space="preserve">[Net interest exp  X (1 – </t>
    </r>
    <r>
      <rPr>
        <b/>
        <i/>
        <sz val="10"/>
        <rFont val="Arial Narrow"/>
        <family val="2"/>
      </rPr>
      <t>t</t>
    </r>
    <r>
      <rPr>
        <sz val="10"/>
        <rFont val="Arial Narrow"/>
        <family val="2"/>
      </rPr>
      <t>)]</t>
    </r>
  </si>
  <si>
    <t xml:space="preserve"> Dr. Interest expense–capital lease [included in "other expense (income)"]</t>
  </si>
  <si>
    <t>(NOPAT – after-tax financial exp) – Inc from cont oper</t>
  </si>
  <si>
    <t>Leverage impact on ROCE = ROCE – RNOA</t>
  </si>
  <si>
    <r>
      <t xml:space="preserve"> </t>
    </r>
    <r>
      <rPr>
        <i/>
        <sz val="9"/>
        <rFont val="Arial"/>
        <family val="2"/>
      </rPr>
      <t>Less</t>
    </r>
    <r>
      <rPr>
        <sz val="9"/>
        <rFont val="Arial"/>
      </rPr>
      <t xml:space="preserve"> "Excess" cash and cash equivalents</t>
    </r>
  </si>
  <si>
    <t>Spread (RNOA – NFR)</t>
  </si>
  <si>
    <t xml:space="preserve"> Leverage impact on ROCE (LEV X Spread)</t>
  </si>
  <si>
    <r>
      <t xml:space="preserve"> NOPAT [</t>
    </r>
    <r>
      <rPr>
        <sz val="10"/>
        <rFont val="Arial Narrow"/>
        <family val="2"/>
      </rPr>
      <t xml:space="preserve">Total oper inc X (1 – </t>
    </r>
    <r>
      <rPr>
        <b/>
        <i/>
        <sz val="10"/>
        <rFont val="Arial Narrow"/>
        <family val="2"/>
      </rPr>
      <t>t</t>
    </r>
    <r>
      <rPr>
        <sz val="10"/>
        <rFont val="Arial Narrow"/>
        <family val="2"/>
      </rPr>
      <t>) – Inc to noncontr int</t>
    </r>
    <r>
      <rPr>
        <sz val="9"/>
        <rFont val="Arial"/>
      </rPr>
      <t>]</t>
    </r>
  </si>
  <si>
    <t>Reported balance of C&amp;CE (from BS)</t>
  </si>
  <si>
    <t>Estim. "normal" and "excess" cash and cash equivalents (C&amp;CE):</t>
  </si>
  <si>
    <r>
      <t>(D)</t>
    </r>
    <r>
      <rPr>
        <sz val="8.5"/>
        <rFont val="Arial Narrow"/>
        <family val="2"/>
      </rPr>
      <t xml:space="preserve"> = </t>
    </r>
    <r>
      <rPr>
        <b/>
        <sz val="8.5"/>
        <rFont val="Arial Narrow"/>
        <family val="2"/>
      </rPr>
      <t>(B)</t>
    </r>
    <r>
      <rPr>
        <sz val="8.5"/>
        <rFont val="Arial Narrow"/>
        <family val="2"/>
      </rPr>
      <t xml:space="preserve"> X </t>
    </r>
    <r>
      <rPr>
        <b/>
        <sz val="8.5"/>
        <rFont val="Arial Narrow"/>
        <family val="2"/>
      </rPr>
      <t>(C)</t>
    </r>
  </si>
  <si>
    <r>
      <t>(E)</t>
    </r>
    <r>
      <rPr>
        <sz val="8.5"/>
        <rFont val="Arial Narrow"/>
        <family val="2"/>
      </rPr>
      <t xml:space="preserve"> = </t>
    </r>
    <r>
      <rPr>
        <b/>
        <sz val="8.5"/>
        <rFont val="Arial Narrow"/>
        <family val="2"/>
      </rPr>
      <t>(A)</t>
    </r>
    <r>
      <rPr>
        <sz val="8.5"/>
        <rFont val="Arial Narrow"/>
        <family val="2"/>
      </rPr>
      <t xml:space="preserve"> – </t>
    </r>
    <r>
      <rPr>
        <b/>
        <sz val="8.5"/>
        <rFont val="Arial Narrow"/>
        <family val="2"/>
      </rPr>
      <t>(D)</t>
    </r>
  </si>
  <si>
    <t>Estimated "normal" current ratio</t>
  </si>
  <si>
    <r>
      <t xml:space="preserve"> Effective tax rate,</t>
    </r>
    <r>
      <rPr>
        <b/>
        <i/>
        <sz val="9"/>
        <rFont val="Arial"/>
        <family val="2"/>
      </rPr>
      <t xml:space="preserve"> t</t>
    </r>
  </si>
  <si>
    <r>
      <t xml:space="preserve"> </t>
    </r>
    <r>
      <rPr>
        <i/>
        <sz val="9"/>
        <rFont val="Arial"/>
        <family val="2"/>
      </rPr>
      <t>Less</t>
    </r>
    <r>
      <rPr>
        <sz val="9"/>
        <rFont val="Arial"/>
      </rPr>
      <t>: CapEx</t>
    </r>
  </si>
  <si>
    <t>Consolidated IS</t>
  </si>
  <si>
    <t>D&amp;A</t>
  </si>
  <si>
    <t>Consolidated BS</t>
  </si>
  <si>
    <t>DIT assets–current</t>
  </si>
  <si>
    <t>DIT assets–noncurrent</t>
  </si>
  <si>
    <t>DIT and other current assets</t>
  </si>
  <si>
    <t>Goodwill and other intangible assets</t>
  </si>
  <si>
    <t>DIT and other noncurrent assets</t>
  </si>
  <si>
    <t>DIT and other current liabilities</t>
  </si>
  <si>
    <t>DIT and other noncurrent liabilities</t>
  </si>
  <si>
    <t>Preferred stock (incl. premium)</t>
  </si>
  <si>
    <t>AOCI, noncontrol. Int., unearned stock comp.</t>
  </si>
  <si>
    <r>
      <t>RNOA and ROCE Analysis</t>
    </r>
    <r>
      <rPr>
        <sz val="9"/>
        <color indexed="19"/>
        <rFont val="Arial"/>
        <family val="2"/>
      </rPr>
      <t xml:space="preserve"> (continued)</t>
    </r>
  </si>
  <si>
    <r>
      <t xml:space="preserve"> RNOA and ROCE Analysis</t>
    </r>
    <r>
      <rPr>
        <sz val="9"/>
        <color indexed="19"/>
        <rFont val="Arial"/>
        <family val="2"/>
      </rPr>
      <t xml:space="preserve"> (continued)</t>
    </r>
  </si>
  <si>
    <t>Bonds, notes and loans payable–current</t>
  </si>
  <si>
    <t>Bonds, notes and loans payable–noncurrent</t>
  </si>
  <si>
    <t>Total liabilities and preferred stock</t>
  </si>
  <si>
    <t>Common stock (incl. APIC), net treas. stock</t>
  </si>
  <si>
    <t>Consolidated SCF</t>
  </si>
  <si>
    <t>CapEx, net</t>
  </si>
  <si>
    <r>
      <t xml:space="preserve"> </t>
    </r>
    <r>
      <rPr>
        <b/>
        <sz val="9"/>
        <color indexed="18"/>
        <rFont val="Arial"/>
        <family val="2"/>
      </rPr>
      <t>(G)</t>
    </r>
    <r>
      <rPr>
        <sz val="9"/>
        <color indexed="18"/>
        <rFont val="Arial"/>
        <family val="2"/>
      </rPr>
      <t xml:space="preserve"> Recognize </t>
    </r>
    <r>
      <rPr>
        <b/>
        <sz val="9"/>
        <color indexed="18"/>
        <rFont val="Arial"/>
        <family val="2"/>
      </rPr>
      <t>capitalized interest</t>
    </r>
    <r>
      <rPr>
        <sz val="9"/>
        <color indexed="18"/>
        <rFont val="Arial"/>
        <family val="2"/>
      </rPr>
      <t xml:space="preserve"> as financial expense (NO balance sheet adjustment needed)</t>
    </r>
  </si>
  <si>
    <r>
      <t xml:space="preserve"> </t>
    </r>
    <r>
      <rPr>
        <b/>
        <sz val="9"/>
        <color indexed="18"/>
        <rFont val="Arial"/>
        <family val="2"/>
      </rPr>
      <t>(H)</t>
    </r>
    <r>
      <rPr>
        <sz val="9"/>
        <color indexed="18"/>
        <rFont val="Arial"/>
        <family val="2"/>
      </rPr>
      <t xml:space="preserve"> </t>
    </r>
    <r>
      <rPr>
        <b/>
        <sz val="9"/>
        <color indexed="18"/>
        <rFont val="Arial"/>
        <family val="2"/>
      </rPr>
      <t>Recast or eliminate asset impairment and restructuring charges, nonoperating gains and losses</t>
    </r>
    <r>
      <rPr>
        <sz val="9"/>
        <color indexed="18"/>
        <rFont val="Arial"/>
        <family val="2"/>
      </rPr>
      <t xml:space="preserve"> (NO balance sheet adjustment needed)</t>
    </r>
  </si>
  <si>
    <r>
      <t xml:space="preserve"> </t>
    </r>
    <r>
      <rPr>
        <b/>
        <sz val="9"/>
        <color indexed="18"/>
        <rFont val="Arial"/>
        <family val="2"/>
      </rPr>
      <t>(A)</t>
    </r>
    <r>
      <rPr>
        <sz val="9"/>
        <color indexed="18"/>
        <rFont val="Arial"/>
        <family val="2"/>
      </rPr>
      <t xml:space="preserve"> Capitalize </t>
    </r>
    <r>
      <rPr>
        <b/>
        <sz val="9"/>
        <color indexed="18"/>
        <rFont val="Arial"/>
        <family val="2"/>
      </rPr>
      <t>operating lease commitments</t>
    </r>
    <r>
      <rPr>
        <sz val="9"/>
        <color indexed="18"/>
        <rFont val="Arial"/>
        <family val="2"/>
      </rPr>
      <t xml:space="preserve"> (</t>
    </r>
    <r>
      <rPr>
        <u/>
        <sz val="9"/>
        <color indexed="18"/>
        <rFont val="Arial"/>
        <family val="2"/>
      </rPr>
      <t>see</t>
    </r>
    <r>
      <rPr>
        <sz val="9"/>
        <color indexed="18"/>
        <rFont val="Arial"/>
        <family val="2"/>
      </rPr>
      <t xml:space="preserve"> income statement for related adjustments)</t>
    </r>
  </si>
  <si>
    <r>
      <t xml:space="preserve"> </t>
    </r>
    <r>
      <rPr>
        <b/>
        <sz val="9"/>
        <color indexed="18"/>
        <rFont val="Arial"/>
        <family val="2"/>
      </rPr>
      <t>(B)</t>
    </r>
    <r>
      <rPr>
        <sz val="9"/>
        <color indexed="18"/>
        <rFont val="Arial"/>
        <family val="2"/>
      </rPr>
      <t xml:space="preserve"> Recognize obligations under </t>
    </r>
    <r>
      <rPr>
        <b/>
        <sz val="9"/>
        <color indexed="18"/>
        <rFont val="Arial"/>
        <family val="2"/>
      </rPr>
      <t>noncancellable, fixed-price vendor supply agreements</t>
    </r>
  </si>
  <si>
    <r>
      <t xml:space="preserve"> </t>
    </r>
    <r>
      <rPr>
        <b/>
        <sz val="9"/>
        <color indexed="18"/>
        <rFont val="Arial"/>
        <family val="2"/>
      </rPr>
      <t>(G)</t>
    </r>
    <r>
      <rPr>
        <sz val="9"/>
        <color indexed="18"/>
        <rFont val="Arial"/>
        <family val="2"/>
      </rPr>
      <t xml:space="preserve"> </t>
    </r>
    <r>
      <rPr>
        <u/>
        <sz val="9"/>
        <color indexed="18"/>
        <rFont val="Arial"/>
        <family val="2"/>
      </rPr>
      <t>See</t>
    </r>
    <r>
      <rPr>
        <sz val="9"/>
        <color indexed="18"/>
        <rFont val="Arial"/>
        <family val="2"/>
      </rPr>
      <t xml:space="preserve"> income statement for adjustment to recognize </t>
    </r>
    <r>
      <rPr>
        <b/>
        <sz val="9"/>
        <color indexed="18"/>
        <rFont val="Arial"/>
        <family val="2"/>
      </rPr>
      <t xml:space="preserve">capitalized interest </t>
    </r>
    <r>
      <rPr>
        <sz val="9"/>
        <color indexed="18"/>
        <rFont val="Arial"/>
        <family val="2"/>
      </rPr>
      <t>as financial expense</t>
    </r>
  </si>
  <si>
    <t>Net decr (incr), from last FYE BS to projected BS, in investment securities AFS</t>
  </si>
  <si>
    <t>Pymnt for acquisitions, net of cash acquired</t>
  </si>
  <si>
    <t>Net decr (incr), from last FYE BS to projected BS, in goodwill, other intangibles, DIT and other noncurrent assets</t>
  </si>
  <si>
    <t>Net incr (decr), from last FYE BS to projected BS, in common stock, including APIC and net of treasury stock</t>
  </si>
  <si>
    <t>Net incr (decr), from last FYE BS to projected BS, in DIT and other noncurrent liabilities</t>
  </si>
  <si>
    <t>Net change in C&amp;CE computed from the amounts immediately below, in the "projected" column</t>
  </si>
  <si>
    <t>Computational notes on projected FY's IS amounts</t>
  </si>
  <si>
    <t>Difference between projected sales and projected gross profit</t>
  </si>
  <si>
    <t>Fiscal year ended (after analysis adjustments)</t>
  </si>
  <si>
    <t>Fiscal year ended (before analysis adjustments)</t>
  </si>
  <si>
    <t>Average combined effective income tax rate for past 6 years without adjustments</t>
  </si>
  <si>
    <r>
      <rPr>
        <sz val="9"/>
        <rFont val="Arial Narrow"/>
        <family val="2"/>
      </rPr>
      <t xml:space="preserve"> = </t>
    </r>
    <r>
      <rPr>
        <b/>
        <sz val="9"/>
        <rFont val="Arial Narrow"/>
        <family val="2"/>
      </rPr>
      <t>(A)</t>
    </r>
    <r>
      <rPr>
        <sz val="9"/>
        <rFont val="Arial Narrow"/>
        <family val="2"/>
      </rPr>
      <t xml:space="preserve"> </t>
    </r>
    <r>
      <rPr>
        <sz val="10"/>
        <rFont val="Arial Narrow"/>
        <family val="2"/>
      </rPr>
      <t>/</t>
    </r>
    <r>
      <rPr>
        <sz val="9"/>
        <rFont val="Arial Narrow"/>
        <family val="2"/>
      </rPr>
      <t xml:space="preserve"> </t>
    </r>
    <r>
      <rPr>
        <b/>
        <sz val="9"/>
        <rFont val="Arial Narrow"/>
        <family val="2"/>
      </rPr>
      <t>(B)</t>
    </r>
  </si>
  <si>
    <t>INPUT US dollar amounts IN MILLIONS</t>
  </si>
  <si>
    <t xml:space="preserve"> INPUT US dollar amounts IN MILLIONS</t>
  </si>
  <si>
    <t>Projected long-run average combined effective income tax rate</t>
  </si>
  <si>
    <t>E.I. Altman's Z-Score (Bankruptcy Prediction Model)</t>
  </si>
  <si>
    <t>Computation as of company's most recent FYE:</t>
  </si>
  <si>
    <t>Shares of common stock outstanding (millions)</t>
  </si>
  <si>
    <t>Footnote to FS, within Annual Report on Form 10-K for FY:</t>
  </si>
  <si>
    <t>“Expected-to-actual tax” reconciliations included in "income tax"</t>
  </si>
  <si>
    <t>[Label (kind of reconciling item)]</t>
  </si>
  <si>
    <t>2008 appears exceptional</t>
  </si>
  <si>
    <t>Old issues resolved in 2012</t>
  </si>
  <si>
    <t>$400 million impairment charge relates to 2007 "stock" acquisition</t>
  </si>
  <si>
    <r>
      <t xml:space="preserve"> Amounts </t>
    </r>
    <r>
      <rPr>
        <u/>
        <sz val="9"/>
        <rFont val="Arial"/>
        <family val="2"/>
      </rPr>
      <t>BEFORE</t>
    </r>
    <r>
      <rPr>
        <sz val="9"/>
        <rFont val="Arial"/>
      </rPr>
      <t xml:space="preserve"> analysis adjustments:</t>
    </r>
  </si>
  <si>
    <t>200_ "stock" acquisition</t>
  </si>
  <si>
    <t>Taxing authority audit settlements and other adjust.</t>
  </si>
  <si>
    <t>200_ appears to be exceptional; tax credits are sporadic, unpredictable</t>
  </si>
  <si>
    <t>[Use as needed to document rationale for projected value]</t>
  </si>
  <si>
    <t>FY-to-FY variation reflects changes in US regional sales, from FY-to-FY</t>
  </si>
  <si>
    <t>Past 2 years, reflects incr'd reliance on non-US sales for overall growth</t>
  </si>
  <si>
    <t xml:space="preserve"> Income from continuing operations</t>
  </si>
  <si>
    <t>Dividends on preferred stock, net of tax (if any)</t>
  </si>
  <si>
    <t>Projected income from continuing operations before taxes LESS taxes on income from continuing operations</t>
  </si>
  <si>
    <t>Typically projected based on average or trend of past five FYs' income attributable to noncontrolling interests</t>
  </si>
  <si>
    <t>Projected income from continuing operations LESS income attributable controlling interests (net of tax)</t>
  </si>
  <si>
    <t>Projected using projected FY's sales and projected GM ratio</t>
  </si>
  <si>
    <t>Net incr (decr), from last FYE BS to projected BS, in current AND noncurrent bonds, notes, loans and capital leases pybl AND pref stock</t>
  </si>
  <si>
    <t>Projected as projected sales DIVIDE projected AR turnover ratio (i.e., sales / average AR)</t>
  </si>
  <si>
    <t>Projected as projected COS DIVIDE projected inventory turnover ratio (i.e., COS / average inventory)</t>
  </si>
  <si>
    <t>Typically projected based on average or trend of past five FYEs balances</t>
  </si>
  <si>
    <t>Net sales (purch) marketable sec, invest AFS</t>
  </si>
  <si>
    <t>Common stock issued (repurch), incl ESOs</t>
  </si>
  <si>
    <t>Net debt borrowed (repaid), incl preferred stock</t>
  </si>
  <si>
    <t>Net incr (decr) in DIT and other noncurrent liab</t>
  </si>
  <si>
    <t>Net decr (incr) in all other noncurrent assets</t>
  </si>
  <si>
    <t>Other changes, net</t>
  </si>
  <si>
    <t>From projected IS</t>
  </si>
  <si>
    <t>Investing or financing losses (gains)</t>
  </si>
  <si>
    <t>Operating NWC decrease (increase)</t>
  </si>
  <si>
    <t>OCF</t>
  </si>
  <si>
    <t>Subtotal</t>
  </si>
  <si>
    <t>Typically projected as $0 because such changes require forex projections, representing transitory market fluctuations not critical to purposes of this analysis</t>
  </si>
  <si>
    <t>A "plug" item used to capture any unidentified reconciling items.  In the final report, this amount may NOT exceed +/-10 percent of the greater of OCF, net investing CF, or net financing CFs</t>
  </si>
  <si>
    <t>From the last FYE BS</t>
  </si>
  <si>
    <t>From the projected BS</t>
  </si>
  <si>
    <t>Percent increase (decrease) in sales, net</t>
  </si>
  <si>
    <t>Five-year CAGR of sales</t>
  </si>
  <si>
    <t>Computational notes on projected FY's BS amounts</t>
  </si>
  <si>
    <t>Computational notes on projected FY's SCF amounts</t>
  </si>
  <si>
    <t>Aggregate net decr (incr), from last FYE BS to projected BS, in working capital current assets liabilities</t>
  </si>
  <si>
    <t>Residual balance of projected total liabilities and stockholders' equity LESS projected balance of total CE</t>
  </si>
  <si>
    <t>Unless MD&amp;A discloses other plans, typically projected as balance at last FYE</t>
  </si>
  <si>
    <t>Residual balance of projected total liabilities and preferred stock LESS projected balance of preferred stock</t>
  </si>
  <si>
    <t>Typically projected based on average or trend of past five FYEs balances, SUBJECT TO achieving reasonable projected current (working capital) and acid-test (quick) ratios</t>
  </si>
  <si>
    <t>Residual balance of projected total liabilities LESS projected balance of total current liabilities, above</t>
  </si>
  <si>
    <t xml:space="preserve">Capital lease obligation–noncurrent </t>
  </si>
  <si>
    <t>Typically projected based on average or trend of past five FYEs balances (which include analysis adjustments, here)</t>
  </si>
  <si>
    <t>Financial Driver Assumptions</t>
  </si>
  <si>
    <t>Fiscal year ended (without analysis adjustments)</t>
  </si>
  <si>
    <r>
      <t xml:space="preserve">Base projected ratio on completed analyses of financial ratios (Report </t>
    </r>
    <r>
      <rPr>
        <sz val="9"/>
        <rFont val="Calibri"/>
        <family val="2"/>
      </rPr>
      <t>§</t>
    </r>
    <r>
      <rPr>
        <sz val="9"/>
        <rFont val="Arial"/>
      </rPr>
      <t xml:space="preserve"> 8) and company’s industry, competition and strategy, including performance drivers" (Report </t>
    </r>
    <r>
      <rPr>
        <sz val="9"/>
        <rFont val="Calibri"/>
        <family val="2"/>
      </rPr>
      <t>§</t>
    </r>
    <r>
      <rPr>
        <sz val="9"/>
        <rFont val="Arial"/>
      </rPr>
      <t xml:space="preserve"> 2)</t>
    </r>
  </si>
  <si>
    <t>Projected using projected FY's sales and projected SG&amp;A-to-sales ratio</t>
  </si>
  <si>
    <t>Projected using projected FY's sales and projected R&amp;D-to-sales ratio</t>
  </si>
  <si>
    <t>Projected using projected FY's sales and projected advertising-to-sales ratio</t>
  </si>
  <si>
    <t>Projected using projected FY's sales and projected other operating expense-to-sales ratio</t>
  </si>
  <si>
    <t>Weighted average interest rate on borrowings</t>
  </si>
  <si>
    <t>Base projected weighted average interest rate on borrowings on (i) examination of historical trend, (ii) company's debt FN and related disclosures, and (iii) analysis of near-term outlook for interest rates and the economy</t>
  </si>
  <si>
    <t xml:space="preserve">Base projected combined effective income tax rate on completed work in separate Estimated L-R Avg Tax Rate workbook tab. </t>
  </si>
  <si>
    <t>Projected income from continuing operations before taxes TIMES projected combined effective income tax rate</t>
  </si>
  <si>
    <t>Projected operating income LESS projected other expense (or plus projected other income)</t>
  </si>
  <si>
    <t>Last FYE balance sheet</t>
  </si>
  <si>
    <t>Projected preferred stock balance TIMES (last FY's preferred stock dividends DIVIDE last FYE's preferred stock balance)</t>
  </si>
  <si>
    <t>D&amp;A expense / previous FYE PP&amp;E, at cost</t>
  </si>
  <si>
    <t>Project D&amp;A expense based on average historical relationship between D&amp;A and its "driver," PP&amp;E at cost</t>
  </si>
  <si>
    <t>See "roll-forward" analysis of accumulated depreciation of PP&amp;E, below</t>
  </si>
  <si>
    <t>Last FYE balance of PP&amp;E, at cost TIMES projected ratio of D&amp;A expense to previous FYE balance of PP&amp;E, at cost.  Projected ratio is average of historical ratios, unless a trend in the ratio suggests otherwise.</t>
  </si>
  <si>
    <t>See "roll-forward" analysis of retained earnings, below</t>
  </si>
  <si>
    <t>See "roll-forward" analysis of common stock (including APIC), net of treasury stock, below</t>
  </si>
  <si>
    <t>Projected issuance of common stock</t>
  </si>
  <si>
    <t>Projected net acquisitions of PP&amp;E</t>
  </si>
  <si>
    <t>Projected deprec expense, net of disposals</t>
  </si>
  <si>
    <t>Residual balance of projected total assets LESS projected balances of all other assets</t>
  </si>
  <si>
    <t>Review ratios</t>
  </si>
  <si>
    <t>Projected as projected total "cash costs" DIVIDE projected AP-and-accrued liabilities turnover ratio (i.e. "cash costs" / average AP-and-accrued liabilities)</t>
  </si>
  <si>
    <t>Base projected ratio on average or trend of past five FYs' ratios</t>
  </si>
  <si>
    <t>Taxes on inc from cont oper / Inc taxes payable</t>
  </si>
  <si>
    <t>Projected as projected "taxes on income from continuing operations" DIVIDE projected ratio of "taxes on income from continuing operations-to-income taxes payable"</t>
  </si>
  <si>
    <r>
      <t xml:space="preserve">Typically projected based on average or trend of past five FYEs balances (which include </t>
    </r>
    <r>
      <rPr>
        <b/>
        <sz val="9"/>
        <rFont val="Arial"/>
        <family val="2"/>
      </rPr>
      <t>analysis adjustments</t>
    </r>
    <r>
      <rPr>
        <sz val="9"/>
        <rFont val="Arial"/>
      </rPr>
      <t>, here)</t>
    </r>
  </si>
  <si>
    <t>Total common equity (CE)</t>
  </si>
  <si>
    <t>Leverage ratio (total assets / total CE)</t>
  </si>
  <si>
    <t>Base projected ratio on completed analyses of financial ratios (Report § 8) and company’s industry, competition and strategy, including performance drivers" (Report § 2)</t>
  </si>
  <si>
    <t>Projected as projected total CE TIMES projected leverage ratio (i.e., total assets / total CE)</t>
  </si>
  <si>
    <t>From projected total liabilities and stockholders' equity, below</t>
  </si>
  <si>
    <r>
      <rPr>
        <i/>
        <sz val="9"/>
        <color indexed="18"/>
        <rFont val="Arial"/>
        <family val="2"/>
      </rPr>
      <t xml:space="preserve"> Less</t>
    </r>
    <r>
      <rPr>
        <sz val="9"/>
        <color indexed="18"/>
        <rFont val="Arial"/>
        <family val="2"/>
      </rPr>
      <t xml:space="preserve"> non-cash impairment charge [from OCF section of SCF]</t>
    </r>
  </si>
  <si>
    <r>
      <rPr>
        <i/>
        <sz val="9"/>
        <color indexed="18"/>
        <rFont val="Arial"/>
        <family val="2"/>
      </rPr>
      <t xml:space="preserve"> Less</t>
    </r>
    <r>
      <rPr>
        <sz val="9"/>
        <color indexed="18"/>
        <rFont val="Arial"/>
        <family val="2"/>
      </rPr>
      <t xml:space="preserve"> non-cash restructuring charge [from OCF section of SCF]</t>
    </r>
  </si>
  <si>
    <r>
      <rPr>
        <i/>
        <sz val="9"/>
        <color indexed="18"/>
        <rFont val="Arial"/>
        <family val="2"/>
      </rPr>
      <t xml:space="preserve"> Less</t>
    </r>
    <r>
      <rPr>
        <sz val="9"/>
        <color indexed="18"/>
        <rFont val="Arial"/>
        <family val="2"/>
      </rPr>
      <t xml:space="preserve"> non-cash other charge [from OCF section of SCF]</t>
    </r>
  </si>
  <si>
    <r>
      <t xml:space="preserve"> NWC-to-assets ratio (the “liquidity” variable, X</t>
    </r>
    <r>
      <rPr>
        <vertAlign val="subscript"/>
        <sz val="9"/>
        <rFont val="Arial"/>
        <family val="2"/>
      </rPr>
      <t>1</t>
    </r>
    <r>
      <rPr>
        <sz val="9"/>
        <rFont val="Arial"/>
      </rPr>
      <t>)</t>
    </r>
  </si>
  <si>
    <r>
      <t xml:space="preserve"> (</t>
    </r>
    <r>
      <rPr>
        <b/>
        <sz val="9"/>
        <rFont val="Arial"/>
        <family val="2"/>
      </rPr>
      <t>1</t>
    </r>
    <r>
      <rPr>
        <sz val="9"/>
        <rFont val="Arial"/>
      </rPr>
      <t>) Prepared using OCF section of consolidated SCFs included in Company's Annual Reports on Form 10-K</t>
    </r>
  </si>
  <si>
    <t>Changes in NWC:</t>
  </si>
  <si>
    <r>
      <t xml:space="preserve"> Page 11 of the A602 Learning Topic 2 Background Paper, </t>
    </r>
    <r>
      <rPr>
        <i/>
        <sz val="9"/>
        <rFont val="Arial"/>
        <family val="2"/>
      </rPr>
      <t>External User Analysis of Publicly Available Information and Financial Ratio Analysis</t>
    </r>
    <r>
      <rPr>
        <sz val="9"/>
        <rFont val="Arial"/>
      </rPr>
      <t>, explains and illustrates compound average growth rate computations</t>
    </r>
  </si>
  <si>
    <t>$US in millions, except per share amounts.  Number of shares in millions</t>
  </si>
  <si>
    <t>Section 1</t>
  </si>
  <si>
    <t>Section 2</t>
  </si>
  <si>
    <t>Section 4</t>
  </si>
  <si>
    <t>Section 5</t>
  </si>
  <si>
    <t>S-T Liquidity</t>
  </si>
  <si>
    <t>L-T Solvency</t>
  </si>
  <si>
    <t>Industry analysis</t>
  </si>
  <si>
    <t>Competitive analysis</t>
  </si>
  <si>
    <t>Strategy analysis</t>
  </si>
  <si>
    <t>Performance drivers</t>
  </si>
  <si>
    <t>Base projected DPS on completed analyses of financial ratios (Report § 8) and company’s industry, competition and strategy, including performance drivers" (Report § 2)</t>
  </si>
  <si>
    <t>Projected GP LESS projected total operating expenses</t>
  </si>
  <si>
    <t>Base projected ratio on analyses of: (i) past five FYs' ratios and (ii) company’s industry, competition and strategy, including performance drivers (Report § 2)</t>
  </si>
  <si>
    <t>Projected ratio value computed using projected FS so that analyst may use in assessing reasonableness of projected FS</t>
  </si>
  <si>
    <t>ROCE</t>
  </si>
  <si>
    <t>Adjustments to reconcile income to OCF</t>
  </si>
  <si>
    <t>Income statement</t>
  </si>
  <si>
    <t>Balance sheet</t>
  </si>
  <si>
    <t>BS "roll-forward" analyses</t>
  </si>
  <si>
    <t>Less: Accumulated depreciation of PP&amp;E</t>
  </si>
  <si>
    <t>Accumulated depreciation of PP&amp;E</t>
  </si>
  <si>
    <t>Common stock (incl APIC), net of treasury stock</t>
  </si>
  <si>
    <t>From projected IS, above</t>
  </si>
  <si>
    <t>Net acquisitions of PP&amp;E as percent of sales</t>
  </si>
  <si>
    <t>Projected sales TIMES projected net acquisitions of PP&amp;E as percent of sales (see financial driver assumptions, above)</t>
  </si>
  <si>
    <t>See "roll-forward" analysis of PP&amp;E, at cost, below</t>
  </si>
  <si>
    <t>To projected FY BS</t>
  </si>
  <si>
    <t>Projected FYE balance sheet</t>
  </si>
  <si>
    <r>
      <t>Key Competitor Total</t>
    </r>
    <r>
      <rPr>
        <b/>
        <sz val="10"/>
        <rFont val="Arial"/>
        <family val="2"/>
      </rPr>
      <t xml:space="preserve"> </t>
    </r>
    <r>
      <rPr>
        <b/>
        <vertAlign val="superscript"/>
        <sz val="10"/>
        <rFont val="Arial"/>
        <family val="2"/>
      </rPr>
      <t>5</t>
    </r>
  </si>
  <si>
    <r>
      <t xml:space="preserve"> Footnotes to report Section 6 table, "</t>
    </r>
    <r>
      <rPr>
        <sz val="9"/>
        <color indexed="18"/>
        <rFont val="Arial"/>
        <family val="2"/>
      </rPr>
      <t xml:space="preserve">Price-book and Price-earnings Ratios–Comparison with Key Competitor and Industry Group </t>
    </r>
  </si>
  <si>
    <r>
      <t xml:space="preserve"> </t>
    </r>
    <r>
      <rPr>
        <sz val="9"/>
        <color indexed="18"/>
        <rFont val="Arial"/>
        <family val="2"/>
      </rPr>
      <t>Averages</t>
    </r>
    <r>
      <rPr>
        <sz val="9"/>
        <rFont val="Arial"/>
      </rPr>
      <t>" table:</t>
    </r>
  </si>
  <si>
    <t xml:space="preserve">ADDITIONAL NOTES </t>
  </si>
  <si>
    <t>ADDITIONAL NOTES</t>
  </si>
  <si>
    <r>
      <t xml:space="preserve"> In the case in which a company presents “expected-to-actual tax” reconciliations</t>
    </r>
    <r>
      <rPr>
        <sz val="9"/>
        <rFont val="Arial"/>
      </rPr>
      <t xml:space="preserve"> (</t>
    </r>
    <r>
      <rPr>
        <b/>
        <sz val="9"/>
        <rFont val="Arial"/>
        <family val="2"/>
      </rPr>
      <t>in its "income tax" FN</t>
    </r>
    <r>
      <rPr>
        <sz val="9"/>
        <rFont val="Arial"/>
      </rPr>
      <t>)</t>
    </r>
    <r>
      <rPr>
        <b/>
        <sz val="9"/>
        <rFont val="Arial"/>
        <family val="2"/>
      </rPr>
      <t xml:space="preserve"> in US dollars, </t>
    </r>
  </si>
  <si>
    <t xml:space="preserve"> to facilitate the necessary analysis</t>
  </si>
  <si>
    <r>
      <t xml:space="preserve"> but </t>
    </r>
    <r>
      <rPr>
        <b/>
        <u/>
        <sz val="9"/>
        <rFont val="Arial"/>
        <family val="2"/>
      </rPr>
      <t>not</t>
    </r>
    <r>
      <rPr>
        <b/>
        <sz val="9"/>
        <rFont val="Arial"/>
        <family val="2"/>
      </rPr>
      <t xml:space="preserve"> in percentage terms, complete the table immediately below, and next table will provide the reconciliation in percentage terms, </t>
    </r>
  </si>
  <si>
    <t>Projected FY's sales growth rate determined by the work performed in the following Sales Projection workbook tab, including analysis of company’s industry, competition and strategy, including performance drivers" (Report § 2)</t>
  </si>
  <si>
    <r>
      <t xml:space="preserve"> Avg days purch in AP</t>
    </r>
    <r>
      <rPr>
        <sz val="9"/>
        <rFont val="Arial"/>
      </rPr>
      <t>,</t>
    </r>
    <r>
      <rPr>
        <b/>
        <sz val="9"/>
        <rFont val="Arial"/>
        <family val="2"/>
      </rPr>
      <t xml:space="preserve"> accr</t>
    </r>
    <r>
      <rPr>
        <sz val="9"/>
        <rFont val="Arial"/>
      </rPr>
      <t>'</t>
    </r>
    <r>
      <rPr>
        <b/>
        <sz val="9"/>
        <rFont val="Arial"/>
        <family val="2"/>
      </rPr>
      <t>d liab</t>
    </r>
    <r>
      <rPr>
        <sz val="9"/>
        <rFont val="Arial"/>
      </rPr>
      <t xml:space="preserve"> (see also AP turnover ratio)</t>
    </r>
  </si>
  <si>
    <r>
      <t xml:space="preserve"> EPS </t>
    </r>
    <r>
      <rPr>
        <b/>
        <sz val="9"/>
        <rFont val="Arial"/>
        <family val="2"/>
      </rPr>
      <t>(4)</t>
    </r>
  </si>
  <si>
    <t>Projected income from continuing operations</t>
  </si>
  <si>
    <t>Projected dividends on preferred stock</t>
  </si>
  <si>
    <t>Projected dividends on common stock</t>
  </si>
  <si>
    <t>Projected repurchases of common stock</t>
  </si>
  <si>
    <t>Unless MD&amp;A discloses other plans, typically projected as $0.</t>
  </si>
  <si>
    <t>Balance</t>
  </si>
  <si>
    <t>Shares</t>
  </si>
  <si>
    <t>Net decr (incr), from last FYE BS to projected BS, in PP&amp;E at cost (see also "roll-forward" analysis of PP&amp;E, at cost, below)</t>
  </si>
  <si>
    <t>Average total (current and noncurrent) borrowings</t>
  </si>
  <si>
    <t>To avoid a confusing, potentially troublesome circular reference, the formula used to project "average borrowings" here should NOT refer to cells in Column G, the  . . .</t>
  </si>
  <si>
    <t>Projected based on expected weighted average interest rate and expected average (current and noncurrent borrowings (see Financial Driver Assumptions, above)</t>
  </si>
  <si>
    <r>
      <t>S</t>
    </r>
    <r>
      <rPr>
        <sz val="9"/>
        <rFont val="Arial"/>
      </rPr>
      <t>ee "roll-forward" analysis of retained earnings, below</t>
    </r>
  </si>
  <si>
    <t xml:space="preserve"> Income attributable to noncontrolling interests</t>
  </si>
  <si>
    <t xml:space="preserve"> Dividends on preferred stock</t>
  </si>
  <si>
    <r>
      <t xml:space="preserve"> Inc from contin oper, </t>
    </r>
    <r>
      <rPr>
        <b/>
        <sz val="10"/>
        <rFont val="Arial Narrow"/>
        <family val="2"/>
      </rPr>
      <t xml:space="preserve">NI </t>
    </r>
    <r>
      <rPr>
        <sz val="9"/>
        <rFont val="Arial"/>
      </rPr>
      <t>(less preferred stock dividends)</t>
    </r>
  </si>
  <si>
    <r>
      <t xml:space="preserve"> Average leverage ratio (average </t>
    </r>
    <r>
      <rPr>
        <b/>
        <sz val="10"/>
        <rFont val="Arial Narrow"/>
        <family val="2"/>
      </rPr>
      <t>NOA</t>
    </r>
    <r>
      <rPr>
        <sz val="9"/>
        <rFont val="Arial"/>
      </rPr>
      <t xml:space="preserve"> </t>
    </r>
    <r>
      <rPr>
        <sz val="10"/>
        <rFont val="Arial"/>
        <family val="2"/>
      </rPr>
      <t>/</t>
    </r>
    <r>
      <rPr>
        <sz val="9"/>
        <rFont val="Arial"/>
      </rPr>
      <t xml:space="preserve"> average </t>
    </r>
    <r>
      <rPr>
        <b/>
        <sz val="10"/>
        <rFont val="Arial Narrow"/>
        <family val="2"/>
      </rPr>
      <t>CE</t>
    </r>
    <r>
      <rPr>
        <sz val="9"/>
        <rFont val="Arial"/>
      </rPr>
      <t>)</t>
    </r>
  </si>
  <si>
    <t xml:space="preserve">      on Form 10-K, computed as "total stockholders' equity" less any "preferred stock" balance reported</t>
  </si>
  <si>
    <t>Projected average common shares outstanding TIMES projected dividend per share (from Financial Driver Assumptions, above)</t>
  </si>
  <si>
    <t>Income from continuing operations (after analysis adjust's)</t>
  </si>
  <si>
    <r>
      <t xml:space="preserve"> </t>
    </r>
    <r>
      <rPr>
        <i/>
        <sz val="9"/>
        <rFont val="Arial"/>
        <family val="2"/>
      </rPr>
      <t>Less</t>
    </r>
    <r>
      <rPr>
        <sz val="9"/>
        <rFont val="Arial"/>
      </rPr>
      <t xml:space="preserve"> Dividends on preferred stock, net of any tax benefit</t>
    </r>
  </si>
  <si>
    <r>
      <rPr>
        <i/>
        <sz val="9"/>
        <rFont val="Arial"/>
        <family val="2"/>
      </rPr>
      <t xml:space="preserve"> Less</t>
    </r>
    <r>
      <rPr>
        <sz val="9"/>
        <rFont val="Arial"/>
      </rPr>
      <t xml:space="preserve"> Dividends on preferred stock, net of any tax benefit</t>
    </r>
  </si>
  <si>
    <r>
      <t xml:space="preserve">Ratio values obtained from </t>
    </r>
    <r>
      <rPr>
        <b/>
        <sz val="9"/>
        <color indexed="14"/>
        <rFont val="Arial"/>
        <family val="2"/>
      </rPr>
      <t>Industry Firm Ratios</t>
    </r>
    <r>
      <rPr>
        <sz val="9"/>
        <rFont val="Arial"/>
      </rPr>
      <t xml:space="preserve"> workbook tab</t>
    </r>
  </si>
  <si>
    <r>
      <t xml:space="preserve"> Ratio values obtained from </t>
    </r>
    <r>
      <rPr>
        <b/>
        <sz val="9"/>
        <color indexed="14"/>
        <rFont val="Arial"/>
        <family val="2"/>
      </rPr>
      <t>Industry Firm Ratios</t>
    </r>
    <r>
      <rPr>
        <sz val="9"/>
        <rFont val="Arial"/>
      </rPr>
      <t xml:space="preserve"> workbook tab</t>
    </r>
  </si>
  <si>
    <r>
      <rPr>
        <i/>
        <sz val="9"/>
        <rFont val="Arial"/>
        <family val="2"/>
      </rPr>
      <t xml:space="preserve"> Times</t>
    </r>
    <r>
      <rPr>
        <sz val="9"/>
        <rFont val="Arial"/>
      </rPr>
      <t xml:space="preserve"> 0.50</t>
    </r>
  </si>
  <si>
    <t xml:space="preserve">   Interest cost</t>
  </si>
  <si>
    <t>Ensure net of debit and credit is zero!</t>
  </si>
  <si>
    <t xml:space="preserve">Dr. Inventory </t>
  </si>
  <si>
    <t>Income statement amounts:</t>
  </si>
  <si>
    <t xml:space="preserve">       Cr. Retained earnings</t>
  </si>
  <si>
    <t>LIFO-basis inventory (carrying amount in BS)</t>
  </si>
  <si>
    <t>Ensure net of debit and credits is zero!</t>
  </si>
  <si>
    <t>Analysis Adjustment for Company Using LIFO Cost-Flow Assumption</t>
  </si>
  <si>
    <t>Earnings management indicators</t>
  </si>
  <si>
    <t>Management judgments and estimates</t>
  </si>
  <si>
    <t>Accounting policy choices</t>
  </si>
  <si>
    <t>Unrecognized commitments and contingencies</t>
  </si>
  <si>
    <t>List of analysis adjustments</t>
  </si>
  <si>
    <t>Descriptions of analysis adjustments</t>
  </si>
  <si>
    <t>Financial driver assumptions</t>
  </si>
  <si>
    <t>Stock price and P-E ratio–trends and market comparisons</t>
  </si>
  <si>
    <t>Unrecognized sources of and demands on liquid assets</t>
  </si>
  <si>
    <t>Investment in common stock</t>
  </si>
  <si>
    <t>Maximum</t>
  </si>
  <si>
    <t>words</t>
  </si>
  <si>
    <t>Unrecognized sources of and demands on financial capital</t>
  </si>
  <si>
    <t>Likely</t>
  </si>
  <si>
    <t>Ratio</t>
  </si>
  <si>
    <t xml:space="preserve">Net operating cycle (days) </t>
  </si>
  <si>
    <t>Average AR collection period (days sales outstanding)</t>
  </si>
  <si>
    <t>Average days purchases in AP, accrued liab</t>
  </si>
  <si>
    <t>Disaggregated RNOA, NOPAT Margin, and NOA Turnover</t>
  </si>
  <si>
    <r>
      <t xml:space="preserve"> Market capitalization (“cap”) </t>
    </r>
    <r>
      <rPr>
        <b/>
        <vertAlign val="superscript"/>
        <sz val="11"/>
        <rFont val="Arial"/>
        <family val="2"/>
      </rPr>
      <t>1</t>
    </r>
    <r>
      <rPr>
        <vertAlign val="superscript"/>
        <sz val="11"/>
        <rFont val="Arial"/>
        <family val="2"/>
      </rPr>
      <t xml:space="preserve"> </t>
    </r>
    <r>
      <rPr>
        <b/>
        <sz val="9"/>
        <rFont val="Arial"/>
        <family val="2"/>
      </rPr>
      <t>(2)</t>
    </r>
  </si>
  <si>
    <r>
      <t xml:space="preserve"> P-B ratio</t>
    </r>
    <r>
      <rPr>
        <sz val="11"/>
        <rFont val="Arial"/>
        <family val="2"/>
      </rPr>
      <t xml:space="preserve"> </t>
    </r>
    <r>
      <rPr>
        <b/>
        <vertAlign val="superscript"/>
        <sz val="11"/>
        <rFont val="Arial"/>
        <family val="2"/>
      </rPr>
      <t>4</t>
    </r>
    <r>
      <rPr>
        <sz val="11"/>
        <rFont val="Arial"/>
        <family val="2"/>
      </rPr>
      <t> </t>
    </r>
  </si>
  <si>
    <r>
      <t xml:space="preserve"> Projected  FY NI attributable to CE </t>
    </r>
    <r>
      <rPr>
        <b/>
        <vertAlign val="superscript"/>
        <sz val="11"/>
        <rFont val="Arial"/>
        <family val="2"/>
      </rPr>
      <t>3</t>
    </r>
    <r>
      <rPr>
        <b/>
        <sz val="11"/>
        <rFont val="Arial"/>
        <family val="2"/>
      </rPr>
      <t xml:space="preserve"> </t>
    </r>
    <r>
      <rPr>
        <sz val="9"/>
        <rFont val="Arial"/>
      </rPr>
      <t>(see our equity valuation)</t>
    </r>
  </si>
  <si>
    <r>
      <t xml:space="preserve"> P-E ratio</t>
    </r>
    <r>
      <rPr>
        <sz val="11"/>
        <rFont val="Arial"/>
        <family val="2"/>
      </rPr>
      <t xml:space="preserve"> </t>
    </r>
    <r>
      <rPr>
        <b/>
        <vertAlign val="superscript"/>
        <sz val="11"/>
        <rFont val="Arial"/>
        <family val="2"/>
      </rPr>
      <t>4</t>
    </r>
    <r>
      <rPr>
        <sz val="11"/>
        <rFont val="Arial"/>
        <family val="2"/>
      </rPr>
      <t> </t>
    </r>
  </si>
  <si>
    <r>
      <t xml:space="preserve"> CE (adjusted), last FYE BS </t>
    </r>
    <r>
      <rPr>
        <vertAlign val="superscript"/>
        <sz val="11"/>
        <rFont val="Arial"/>
        <family val="2"/>
      </rPr>
      <t xml:space="preserve"> </t>
    </r>
    <r>
      <rPr>
        <b/>
        <vertAlign val="superscript"/>
        <sz val="11"/>
        <rFont val="Arial"/>
        <family val="2"/>
      </rPr>
      <t>2</t>
    </r>
  </si>
  <si>
    <r>
      <t xml:space="preserve"> Shares </t>
    </r>
    <r>
      <rPr>
        <b/>
        <sz val="9"/>
        <rFont val="Arial"/>
        <family val="2"/>
      </rPr>
      <t>(1)</t>
    </r>
  </si>
  <si>
    <r>
      <t xml:space="preserve"> Price </t>
    </r>
    <r>
      <rPr>
        <b/>
        <sz val="9"/>
        <rFont val="Arial"/>
        <family val="2"/>
      </rPr>
      <t>(2)</t>
    </r>
  </si>
  <si>
    <t xml:space="preserve"> Market Cap</t>
  </si>
  <si>
    <r>
      <t xml:space="preserve"> CE </t>
    </r>
    <r>
      <rPr>
        <b/>
        <sz val="9"/>
        <rFont val="Arial"/>
        <family val="2"/>
      </rPr>
      <t>(3)</t>
    </r>
  </si>
  <si>
    <t xml:space="preserve"> P-B ratio</t>
  </si>
  <si>
    <t xml:space="preserve"> P-E ratio</t>
  </si>
  <si>
    <t xml:space="preserve">      Report on Form 10-K.</t>
  </si>
  <si>
    <t xml:space="preserve">   Expected return on plan assets  (reduces net cost)</t>
  </si>
  <si>
    <t>Net financial components of benefit costs–debit (credit)</t>
  </si>
  <si>
    <t>Analysis Adjustment for "Interest Cost" and "Expected Return on Plan Assets" Components of DB Pension and OPEB Expense</t>
  </si>
  <si>
    <t>Dr. Other current assets</t>
  </si>
  <si>
    <t>Dr. Other noncurrent assets</t>
  </si>
  <si>
    <t xml:space="preserve">       Cr. Other noncurrent liabilities</t>
  </si>
  <si>
    <t>Ensure net of debits and credits is zero!</t>
  </si>
  <si>
    <t>Dr. Noncurrent assets</t>
  </si>
  <si>
    <t>Capitalized interest cost (from footnote disclosure)</t>
  </si>
  <si>
    <t>Decrease in income before income taxes</t>
  </si>
  <si>
    <t>Decrease  in income taxes or increase in tax benefit</t>
  </si>
  <si>
    <t>Decrease in net income or increase in net loss</t>
  </si>
  <si>
    <t>Analysis Adjustment for Guarantees of Debt of Unconsolidated Affiliated Entities</t>
  </si>
  <si>
    <t>Analysis Adjustment for Interest Capitalized as Part of Internally Constructed Assets</t>
  </si>
  <si>
    <t>Analysis Adjustment for Noncancellable, Fixed-price Vendor Material Supply Agreements</t>
  </si>
  <si>
    <r>
      <rPr>
        <b/>
        <sz val="10"/>
        <rFont val="Arial Narrow"/>
        <family val="2"/>
      </rPr>
      <t>(4)</t>
    </r>
    <r>
      <rPr>
        <sz val="10"/>
        <rFont val="Arial Narrow"/>
        <family val="2"/>
      </rPr>
      <t xml:space="preserve"> Firm's DILUTED EPS, as reported in its last FY income statement (IS), included in its most recent Annual </t>
    </r>
  </si>
  <si>
    <r>
      <rPr>
        <b/>
        <sz val="10"/>
        <rFont val="Arial Narrow"/>
        <family val="2"/>
      </rPr>
      <t>(3)</t>
    </r>
    <r>
      <rPr>
        <sz val="10"/>
        <rFont val="Arial Narrow"/>
        <family val="2"/>
      </rPr>
      <t xml:space="preserve"> Firm's total COMMON stockholders' equity (CE), as reported in its last FYE BS included in its Annual Report</t>
    </r>
  </si>
  <si>
    <r>
      <rPr>
        <b/>
        <sz val="10"/>
        <rFont val="Arial Narrow"/>
        <family val="2"/>
      </rPr>
      <t>(2)</t>
    </r>
    <r>
      <rPr>
        <sz val="10"/>
        <rFont val="Arial Narrow"/>
        <family val="2"/>
      </rPr>
      <t xml:space="preserve"> </t>
    </r>
    <r>
      <rPr>
        <i/>
        <sz val="10"/>
        <rFont val="Arial Narrow"/>
        <family val="2"/>
      </rPr>
      <t>Average</t>
    </r>
    <r>
      <rPr>
        <sz val="10"/>
        <rFont val="Arial Narrow"/>
        <family val="2"/>
      </rPr>
      <t xml:space="preserve"> closing price of firm's stock during the week </t>
    </r>
    <r>
      <rPr>
        <i/>
        <sz val="10"/>
        <rFont val="Arial Narrow"/>
        <family val="2"/>
      </rPr>
      <t>following</t>
    </r>
    <r>
      <rPr>
        <sz val="10"/>
        <rFont val="Arial Narrow"/>
        <family val="2"/>
      </rPr>
      <t xml:space="preserve"> release by YOUR GROUP's company of 4Q </t>
    </r>
  </si>
  <si>
    <t>Market price of common stock</t>
  </si>
  <si>
    <t>Diluted income from contin operations per common share</t>
  </si>
  <si>
    <t>Diluted weighted average shares outstanding (in millions)</t>
  </si>
  <si>
    <t>Dividends declared per share of common stock</t>
  </si>
  <si>
    <t>Common shares outstanding at FYE (in millions)</t>
  </si>
  <si>
    <t>Total market capitalization ("cap")</t>
  </si>
  <si>
    <r>
      <t xml:space="preserve">Footnotes to industry firms' computations (formulas obtain amounts from </t>
    </r>
    <r>
      <rPr>
        <b/>
        <sz val="10"/>
        <color indexed="53"/>
        <rFont val="Arial Narrow"/>
        <family val="2"/>
      </rPr>
      <t>Financial Ratios</t>
    </r>
    <r>
      <rPr>
        <sz val="10"/>
        <rFont val="Arial Narrow"/>
        <family val="2"/>
      </rPr>
      <t xml:space="preserve"> workbook tab):</t>
    </r>
  </si>
  <si>
    <t xml:space="preserve">      earnings for its last reported FY </t>
  </si>
  <si>
    <r>
      <rPr>
        <b/>
        <sz val="10"/>
        <rFont val="Arial Narrow"/>
        <family val="2"/>
      </rPr>
      <t>(1)</t>
    </r>
    <r>
      <rPr>
        <sz val="10"/>
        <rFont val="Arial Narrow"/>
        <family val="2"/>
      </rPr>
      <t xml:space="preserve"> Number (in millions) of outstanding shares of firm's common stock at FYE, from stockholders' equity section of</t>
    </r>
  </si>
  <si>
    <t xml:space="preserve">      balance sheet (BS), net of any treasury shares, from last Annual Report on Form 10-K</t>
  </si>
  <si>
    <t xml:space="preserve">       Cr. Income from contin oper incl noncontrol interests [decrease]</t>
  </si>
  <si>
    <t xml:space="preserve">       Cr. Taxes on income from continuing operations</t>
  </si>
  <si>
    <t>Dr. D&amp;A [amortization of intangible assets]</t>
  </si>
  <si>
    <t>Total amortization and impairment loss</t>
  </si>
  <si>
    <t>Recast amortization based on a shorter life</t>
  </si>
  <si>
    <t>Intangible asset amortization expense recognized</t>
  </si>
  <si>
    <t>Intangible asset impairment loss recognized</t>
  </si>
  <si>
    <t>Incr. (decr.) in income from continuing oper before income taxes</t>
  </si>
  <si>
    <t>Increase (decrease) in taxes on income from continuing operations</t>
  </si>
  <si>
    <t>Increase (decrease) in after-tax income from continuing operations</t>
  </si>
  <si>
    <t>Analysis Adjustment for Impairment of Long-lived Tangible Assets (including PP&amp;E)</t>
  </si>
  <si>
    <t>Increase (decrease) in income from contin oper before income taxes</t>
  </si>
  <si>
    <t>Dr. D&amp;A [depreciation of PP&amp;E]</t>
  </si>
  <si>
    <t>Impairment loss on PP&amp;E (or other long-lived tangible asset)</t>
  </si>
  <si>
    <t>Estimated additional D&amp;A [yearly depreciation expense]</t>
  </si>
  <si>
    <t>Analysis Adjustment for Company Using FIFO Cost-Flow Assumption</t>
  </si>
  <si>
    <t xml:space="preserve">FIFO- or replacement cost-basis inventory </t>
  </si>
  <si>
    <t xml:space="preserve">"LIFO reserve" </t>
  </si>
  <si>
    <t>From Inventory or other footnote disclosure</t>
  </si>
  <si>
    <r>
      <t xml:space="preserve"> </t>
    </r>
    <r>
      <rPr>
        <b/>
        <sz val="9"/>
        <rFont val="Arial"/>
        <family val="2"/>
      </rPr>
      <t>(1)</t>
    </r>
    <r>
      <rPr>
        <sz val="9"/>
        <rFont val="Arial"/>
      </rPr>
      <t xml:space="preserve"> Obtain industry-related inflation rate by researching online government and industry publications and websites</t>
    </r>
  </si>
  <si>
    <r>
      <rPr>
        <i/>
        <sz val="9"/>
        <rFont val="Arial"/>
        <family val="2"/>
      </rPr>
      <t xml:space="preserve"> Times</t>
    </r>
    <r>
      <rPr>
        <sz val="9"/>
        <rFont val="Arial"/>
      </rPr>
      <t xml:space="preserve"> Inflation rate of manufacturing costs </t>
    </r>
    <r>
      <rPr>
        <b/>
        <sz val="9"/>
        <rFont val="Arial"/>
        <family val="2"/>
      </rPr>
      <t>(1)</t>
    </r>
  </si>
  <si>
    <t xml:space="preserve">      Cr. DIT liabilities–current</t>
  </si>
  <si>
    <t xml:space="preserve">      Cr.  Income from contin oper incl noncontrol interests [decrease]</t>
  </si>
  <si>
    <t xml:space="preserve">      Cr. Taxes on income from continuing operations</t>
  </si>
  <si>
    <t>Income from continuing operations before taxes</t>
  </si>
  <si>
    <t>Taxes on income from continuing operations</t>
  </si>
  <si>
    <t>Analysis Adjustment for Company Using Average Cost Assumption</t>
  </si>
  <si>
    <t>Financial components of healthcare (OPEB) benefits expense:</t>
  </si>
  <si>
    <t>Financial components of defined-benefit pension expense:</t>
  </si>
  <si>
    <t>Dr. Interest expense, net of interest income</t>
  </si>
  <si>
    <t xml:space="preserve">       Cr. SG&amp;A expenses</t>
  </si>
  <si>
    <t>Dr. SG&amp;A expenses</t>
  </si>
  <si>
    <t xml:space="preserve">       Cr. Interest expense, net of interest income</t>
  </si>
  <si>
    <t xml:space="preserve">   Expected return on plan assets (reduces net cost)</t>
  </si>
  <si>
    <t>Analysis Adjustment for Gain or Loss on Early Extinguishment of Debt</t>
  </si>
  <si>
    <t>Dr. Gain on restructuring of bank loan payable</t>
  </si>
  <si>
    <t>Recast gain on restructuring of [bank loan in 2013]</t>
  </si>
  <si>
    <t>Analysis Adjustment for Gain on Troubled Debt Restructuring (TDR)</t>
  </si>
  <si>
    <t>Recast gain on TDR:</t>
  </si>
  <si>
    <t>Reduction of interest expense</t>
  </si>
  <si>
    <t>Analysis Adjustment for Gain or Loss on Sales of Investment Securities</t>
  </si>
  <si>
    <t>Investment securities available for sale (AFS):</t>
  </si>
  <si>
    <t>Average annual sales of investment securities</t>
  </si>
  <si>
    <t>Average EOY balance of investment securities</t>
  </si>
  <si>
    <t xml:space="preserve"> Recast (gain) loss over average holding period</t>
  </si>
  <si>
    <t>Decrease (increase) in net interest expense</t>
  </si>
  <si>
    <t>Dr. Gain on disposal of investment securities AFS</t>
  </si>
  <si>
    <t xml:space="preserve">       Cr. Loss on disposal of investment securities AFS</t>
  </si>
  <si>
    <t xml:space="preserve"> Recast 20[09 gains as decrease] in net interest expense</t>
  </si>
  <si>
    <t xml:space="preserve">Estimated average holding period (whole years) </t>
  </si>
  <si>
    <r>
      <t xml:space="preserve"> If appropriate, "post" to </t>
    </r>
    <r>
      <rPr>
        <b/>
        <sz val="9"/>
        <color indexed="17"/>
        <rFont val="Arial"/>
        <family val="2"/>
      </rPr>
      <t>IS Analysis Adjustments</t>
    </r>
    <r>
      <rPr>
        <b/>
        <sz val="9"/>
        <rFont val="Arial"/>
        <family val="2"/>
      </rPr>
      <t xml:space="preserve"> </t>
    </r>
    <r>
      <rPr>
        <sz val="9"/>
        <rFont val="Arial"/>
      </rPr>
      <t>workbook tab:</t>
    </r>
  </si>
  <si>
    <r>
      <t xml:space="preserve"> If appropriate, "post" to </t>
    </r>
    <r>
      <rPr>
        <b/>
        <sz val="9"/>
        <color indexed="18"/>
        <rFont val="Arial"/>
        <family val="2"/>
      </rPr>
      <t>BS Analysis Adjustments</t>
    </r>
    <r>
      <rPr>
        <b/>
        <sz val="9"/>
        <rFont val="Arial"/>
        <family val="2"/>
      </rPr>
      <t xml:space="preserve"> </t>
    </r>
    <r>
      <rPr>
        <sz val="9"/>
        <rFont val="Arial"/>
      </rPr>
      <t>workbook tab:</t>
    </r>
  </si>
  <si>
    <r>
      <t xml:space="preserve">"Post" to </t>
    </r>
    <r>
      <rPr>
        <b/>
        <sz val="9"/>
        <color indexed="17"/>
        <rFont val="Arial"/>
        <family val="2"/>
      </rPr>
      <t>IS Analysis Adjustments</t>
    </r>
    <r>
      <rPr>
        <b/>
        <sz val="9"/>
        <rFont val="Arial"/>
        <family val="2"/>
      </rPr>
      <t xml:space="preserve"> </t>
    </r>
    <r>
      <rPr>
        <sz val="9"/>
        <rFont val="Arial"/>
      </rPr>
      <t>workbook tab:</t>
    </r>
  </si>
  <si>
    <r>
      <t xml:space="preserve">"Post" to </t>
    </r>
    <r>
      <rPr>
        <b/>
        <sz val="9"/>
        <color indexed="18"/>
        <rFont val="Arial"/>
        <family val="2"/>
      </rPr>
      <t>BS Analysis Adjustments</t>
    </r>
    <r>
      <rPr>
        <b/>
        <sz val="9"/>
        <rFont val="Arial"/>
        <family val="2"/>
      </rPr>
      <t xml:space="preserve"> </t>
    </r>
    <r>
      <rPr>
        <sz val="9"/>
        <rFont val="Arial"/>
      </rPr>
      <t>workbook tab:</t>
    </r>
  </si>
  <si>
    <t>Analysis Adjustment for Noncancellable, Fixed-price Vendor Services Agreements</t>
  </si>
  <si>
    <t>Analysis Adjustment for Noncancellable Royalty or Licensing Arrangements</t>
  </si>
  <si>
    <t xml:space="preserve">       Cr. Accrued liabilities (current)</t>
  </si>
  <si>
    <t>Analysis Adjustment for Noncancellable Construction or Development Contracts</t>
  </si>
  <si>
    <t>[Insert additional rows above this one, if needed]</t>
  </si>
  <si>
    <t>Dr. PP&amp;E, at cost AND / OR Other noncurrent assets</t>
  </si>
  <si>
    <t>Goodwill impairment loss recognized</t>
  </si>
  <si>
    <t xml:space="preserve">       Cr. Goodwill impairment loss</t>
  </si>
  <si>
    <t xml:space="preserve"> Combined effective income tax rate</t>
  </si>
  <si>
    <t>Dr. Income from contin oper incl noncontrol interests [increase]</t>
  </si>
  <si>
    <t>Dr. Taxes on income from continuing operations</t>
  </si>
  <si>
    <t>Analysis Adjustment for Goodwill Impairment</t>
  </si>
  <si>
    <t>Analysis Adjustment for Impairment of Other Intangible Assets</t>
  </si>
  <si>
    <t xml:space="preserve">       Cr. Impairment loss on intangible assets</t>
  </si>
  <si>
    <t>Recast 20[09 loss as increase] in D&amp;A expense</t>
  </si>
  <si>
    <t xml:space="preserve"> Recast 20[13 loss as increase] in net interest expense</t>
  </si>
  <si>
    <t xml:space="preserve"> Recast 20[11 loss as increase] in net interest expense</t>
  </si>
  <si>
    <t xml:space="preserve"> Recast 20[10 loss as increase] in net interest expense</t>
  </si>
  <si>
    <t>Recast 20[10 gain as decrease] in D&amp;A expense</t>
  </si>
  <si>
    <t>Recast 20[11 gain as decrease] in D&amp;A expense</t>
  </si>
  <si>
    <t>Analysis of positive reconciling items, ratio of OCF to NI before D&amp;A, and operating cycle ("days") ratios</t>
  </si>
  <si>
    <t>Analysis of company's financial flexibility</t>
  </si>
  <si>
    <t>Readings</t>
  </si>
  <si>
    <t>Project</t>
  </si>
  <si>
    <t>Week 1</t>
  </si>
  <si>
    <t>Week 2</t>
  </si>
  <si>
    <t>Week 3</t>
  </si>
  <si>
    <t>Week 4</t>
  </si>
  <si>
    <t>Week 5</t>
  </si>
  <si>
    <t>Week 6</t>
  </si>
  <si>
    <t>Week 7</t>
  </si>
  <si>
    <t>Week 8</t>
  </si>
  <si>
    <t>TOTAL</t>
  </si>
  <si>
    <t>Required</t>
  </si>
  <si>
    <t>Assign-</t>
  </si>
  <si>
    <t>ments</t>
  </si>
  <si>
    <t>Group</t>
  </si>
  <si>
    <t>[Replace this with your analysis comments.]</t>
  </si>
  <si>
    <t>Group of 3</t>
  </si>
  <si>
    <t>Group of 4</t>
  </si>
  <si>
    <t>Group of 5</t>
  </si>
  <si>
    <t>Per week</t>
  </si>
  <si>
    <t>Earned</t>
  </si>
  <si>
    <t>Total points</t>
  </si>
  <si>
    <t xml:space="preserve">       Cr. Impairment loss on PP&amp;E  (or other long-lived tangible asset)</t>
  </si>
  <si>
    <t>Eliminate severance having no future economic benefit</t>
  </si>
  <si>
    <t>Write-downs of P&amp;E to be idled or disposed of:</t>
  </si>
  <si>
    <t>Estimated additional annual depreciation expense</t>
  </si>
  <si>
    <t>Recast over estimated __ future years benefitted</t>
  </si>
  <si>
    <t>Contract termination penalties/settlement:</t>
  </si>
  <si>
    <t>Plant reorganization and productivity enhancements:</t>
  </si>
  <si>
    <t>Modify, as necessary</t>
  </si>
  <si>
    <t>Dr. COS, SG&amp;A (or other category operating) expense</t>
  </si>
  <si>
    <t xml:space="preserve">       Cr. Restructuring charge</t>
  </si>
  <si>
    <t>Analysis Adjustment for Business Restructurings Charges</t>
  </si>
  <si>
    <t>Adjusted COS</t>
  </si>
  <si>
    <t>Dr. COS</t>
  </si>
  <si>
    <t>Analysis adjustment to increase COS</t>
  </si>
  <si>
    <t xml:space="preserve">       Cr. Notes and loans payable–noncurrent</t>
  </si>
  <si>
    <t>Included in 2011 restructuring charge</t>
  </si>
  <si>
    <t>Severance paid employees of closed facilities (incl in restructuring):</t>
  </si>
  <si>
    <t>Recast loss (gain) on early retirement of bonds:</t>
  </si>
  <si>
    <t>Reduction (increase) in interest expense</t>
  </si>
  <si>
    <t xml:space="preserve">       Cr. Loss on early retirement of debt</t>
  </si>
  <si>
    <t>Increase (decrease) in income from continuing oper before taxes</t>
  </si>
  <si>
    <t>Recast loss (gain) on early retirement of debt in [2011]</t>
  </si>
  <si>
    <r>
      <t xml:space="preserve">Analysis of </t>
    </r>
    <r>
      <rPr>
        <b/>
        <sz val="9"/>
        <rFont val="Arial"/>
        <family val="2"/>
      </rPr>
      <t>trend in common-size operating income</t>
    </r>
    <r>
      <rPr>
        <sz val="9"/>
        <rFont val="Arial"/>
      </rPr>
      <t xml:space="preserve"> (focusing on the business or financial implications and the relationship of this trend to trends in common-size gross profit and operating expenses) is complete, concise, clear, and convincing</t>
    </r>
  </si>
  <si>
    <t>Total current assets (see common-size FS)</t>
  </si>
  <si>
    <t>Total current liabilities (see common-size FS)</t>
  </si>
  <si>
    <t>Week 3 Analysis Adjustments Assignment Grading Rubric</t>
  </si>
  <si>
    <t>Financial statements analysis adjustments are properly identified from the Annual Report on Form 10-K and the supporting analysis, computations, and presentation is complete, correct, concise, and clear:</t>
  </si>
  <si>
    <t xml:space="preserve"> Pension Cost Analysis Adjust</t>
  </si>
  <si>
    <t xml:space="preserve"> Invent Cost-Flow Analysis Adj</t>
  </si>
  <si>
    <t xml:space="preserve"> Noncancel Commit Analysis Adj</t>
  </si>
  <si>
    <t xml:space="preserve"> Guar Uncons Debt Analysis Adj</t>
  </si>
  <si>
    <t xml:space="preserve"> Capitalized Interest Analysis Adj</t>
  </si>
  <si>
    <t xml:space="preserve"> Impair, Restruct Analysis Adj</t>
  </si>
  <si>
    <t xml:space="preserve"> Debt Restruct Analysis Adj</t>
  </si>
  <si>
    <t xml:space="preserve"> Sales Invest, PP&amp;E Analysis Adj</t>
  </si>
  <si>
    <t xml:space="preserve"> Total points</t>
  </si>
  <si>
    <t xml:space="preserve">   Sales (investing cash flow section of SCF)</t>
  </si>
  <si>
    <t xml:space="preserve">   EOY balance (from balance sheet)</t>
  </si>
  <si>
    <t>Weighted average percent depreciated</t>
  </si>
  <si>
    <t>Decrease (increase) in depreciation expense</t>
  </si>
  <si>
    <t>Dr. Gain on sale of PP&amp;E</t>
  </si>
  <si>
    <t xml:space="preserve">       Cr. Loss on sale of PP&amp;E</t>
  </si>
  <si>
    <r>
      <t xml:space="preserve"> Original cost of PP&amp;E, </t>
    </r>
    <r>
      <rPr>
        <i/>
        <sz val="9"/>
        <rFont val="Arial"/>
        <family val="2"/>
      </rPr>
      <t>except</t>
    </r>
    <r>
      <rPr>
        <sz val="9"/>
        <rFont val="Arial"/>
      </rPr>
      <t xml:space="preserve"> non-depreciable land</t>
    </r>
  </si>
  <si>
    <t>Dr. D&amp;A [PP&amp;E depreciation expense]</t>
  </si>
  <si>
    <t>Dr.  Income from contin oper incl noncontrol interests [increase]</t>
  </si>
  <si>
    <t xml:space="preserve">       Cr. D&amp;A [PP&amp;E depreciation expense]</t>
  </si>
  <si>
    <t>Analysis Adjustment for Gain or Loss on Sales or Other Disposals of PP&amp;E</t>
  </si>
  <si>
    <t>From BS or PP&amp;E FN to FS:</t>
  </si>
  <si>
    <t>From OCF section of SCF:</t>
  </si>
  <si>
    <t>Estimated weighted average original life of PP&amp;E (years)</t>
  </si>
  <si>
    <t>Annual depreciation and amortization (D&amp;A)</t>
  </si>
  <si>
    <t>From IS:</t>
  </si>
  <si>
    <t>Recast (gain) loss over estimated years PP&amp;E used</t>
  </si>
  <si>
    <t>Estimated age of equipment upon disposal (years)</t>
  </si>
  <si>
    <t>Gain (loss) on disposal of PP&amp;E</t>
  </si>
  <si>
    <t xml:space="preserve"> Recast 20[12 gains as decrease] in net interest expense</t>
  </si>
  <si>
    <t>Recast 20[13 loss as increase] in D&amp;A expense</t>
  </si>
  <si>
    <t>Recast 20[12 loss as increase] in D&amp;A expense</t>
  </si>
  <si>
    <r>
      <rPr>
        <b/>
        <sz val="9"/>
        <rFont val="Arial"/>
        <family val="2"/>
      </rPr>
      <t xml:space="preserve">OCF Analysis </t>
    </r>
    <r>
      <rPr>
        <sz val="9"/>
        <rFont val="Arial"/>
      </rPr>
      <t xml:space="preserve">comments address  </t>
    </r>
    <r>
      <rPr>
        <i/>
        <sz val="9"/>
        <rFont val="Arial"/>
        <family val="2"/>
      </rPr>
      <t>(1)</t>
    </r>
    <r>
      <rPr>
        <sz val="9"/>
        <rFont val="Arial"/>
      </rPr>
      <t xml:space="preserve"> any positive reconciling that do not appear to be sustainable sources of OCF, </t>
    </r>
    <r>
      <rPr>
        <i/>
        <sz val="9"/>
        <rFont val="Arial"/>
        <family val="2"/>
      </rPr>
      <t>(2)</t>
    </r>
    <r>
      <rPr>
        <sz val="9"/>
        <rFont val="Arial"/>
      </rPr>
      <t xml:space="preserve"> level and trend of the cumulative ratio of OCF to NI before D&amp;A, and </t>
    </r>
    <r>
      <rPr>
        <i/>
        <sz val="9"/>
        <rFont val="Arial"/>
        <family val="2"/>
      </rPr>
      <t>(3)</t>
    </r>
    <r>
      <rPr>
        <sz val="9"/>
        <rFont val="Arial"/>
      </rPr>
      <t xml:space="preserve"> trend of the average AR collection period, inventory "days," DPO, and net operating cycle, focusing on the implications for </t>
    </r>
    <r>
      <rPr>
        <b/>
        <sz val="9"/>
        <rFont val="Arial"/>
        <family val="2"/>
      </rPr>
      <t>earnings quality</t>
    </r>
    <r>
      <rPr>
        <sz val="9"/>
        <rFont val="Arial"/>
      </rPr>
      <t>.  Comments are complete, concise, clear, and convincing.</t>
    </r>
  </si>
  <si>
    <r>
      <rPr>
        <b/>
        <sz val="9"/>
        <rFont val="Arial"/>
        <family val="2"/>
      </rPr>
      <t>FCF Analysis</t>
    </r>
    <r>
      <rPr>
        <sz val="9"/>
        <rFont val="Arial"/>
      </rPr>
      <t xml:space="preserve"> comments address </t>
    </r>
    <r>
      <rPr>
        <i/>
        <sz val="9"/>
        <rFont val="Arial"/>
        <family val="2"/>
      </rPr>
      <t>(1)</t>
    </r>
    <r>
      <rPr>
        <sz val="9"/>
        <rFont val="Arial"/>
      </rPr>
      <t xml:space="preserve"> trend of FCF and </t>
    </r>
    <r>
      <rPr>
        <i/>
        <sz val="9"/>
        <rFont val="Arial"/>
        <family val="2"/>
      </rPr>
      <t xml:space="preserve">(2) </t>
    </r>
    <r>
      <rPr>
        <sz val="9"/>
        <rFont val="Arial"/>
      </rPr>
      <t xml:space="preserve">the level and trend of FCF as a percent of income from continuing operations, focusing on the implications for </t>
    </r>
    <r>
      <rPr>
        <b/>
        <sz val="9"/>
        <rFont val="Arial"/>
        <family val="2"/>
      </rPr>
      <t>financial flexibility</t>
    </r>
    <r>
      <rPr>
        <sz val="9"/>
        <rFont val="Arial"/>
      </rPr>
      <t>.  Comments are complete, concise, clear, and convincing.</t>
    </r>
  </si>
  <si>
    <t xml:space="preserve">   Comparative historical-year financial statement amounts are correct</t>
  </si>
  <si>
    <t>Analysis of changes in balance sheet mix, focusing on business or financial implications and relationship to other changes in balance sheet mix</t>
  </si>
  <si>
    <t xml:space="preserve">   Current assets (relative mix and total current assets as percent of total assets)</t>
  </si>
  <si>
    <t xml:space="preserve">   Long-lived and other non-current assets</t>
  </si>
  <si>
    <t xml:space="preserve">   Long-term debt and other noncurrent liabilities</t>
  </si>
  <si>
    <t xml:space="preserve">   Stockholders' equity</t>
  </si>
  <si>
    <t xml:space="preserve">   Current liabilities (relative mix and total current liabilities as percent of total assets)</t>
  </si>
  <si>
    <t>Week 1 Financial Ratio Analysis Assignment Grading Rubric</t>
  </si>
  <si>
    <t xml:space="preserve">   Liquidity ratios</t>
  </si>
  <si>
    <t xml:space="preserve">   Capital structure and solvency ratios</t>
  </si>
  <si>
    <t xml:space="preserve">   Return on investment ratios</t>
  </si>
  <si>
    <t xml:space="preserve">   Operating performance ratios</t>
  </si>
  <si>
    <t xml:space="preserve">   Asset utilization ratios</t>
  </si>
  <si>
    <t xml:space="preserve">   Stock performance ratios</t>
  </si>
  <si>
    <t>Consolidated BS–Common-size analysis</t>
  </si>
  <si>
    <t>Consolidated IS–Common-size analysis</t>
  </si>
  <si>
    <t>Week 1 Common-size Financial Statements Assignment Grading Rubric</t>
  </si>
  <si>
    <t>Analysis of common-size oper. income trend, focusing on business or financial implications and relationship to common-size gross profit and oper. exp. trends</t>
  </si>
  <si>
    <r>
      <t xml:space="preserve">Analysis of ratios' (1) </t>
    </r>
    <r>
      <rPr>
        <b/>
        <sz val="9"/>
        <rFont val="Arial"/>
        <family val="2"/>
      </rPr>
      <t>trend</t>
    </r>
    <r>
      <rPr>
        <sz val="9"/>
        <rFont val="Arial"/>
      </rPr>
      <t xml:space="preserve"> and (2) </t>
    </r>
    <r>
      <rPr>
        <b/>
        <sz val="9"/>
        <rFont val="Arial"/>
        <family val="2"/>
      </rPr>
      <t>comparison with</t>
    </r>
    <r>
      <rPr>
        <sz val="9"/>
        <rFont val="Arial"/>
      </rPr>
      <t xml:space="preserve"> the key competitor and industry average ratios, focusing on business or financial implications and relationship of trends to trends in </t>
    </r>
    <r>
      <rPr>
        <i/>
        <sz val="9"/>
        <rFont val="Arial"/>
        <family val="2"/>
      </rPr>
      <t>other</t>
    </r>
    <r>
      <rPr>
        <sz val="9"/>
        <rFont val="Arial"/>
      </rPr>
      <t xml:space="preserve"> ratios, is complete, correct, concise, clear, and convincing:</t>
    </r>
  </si>
  <si>
    <r>
      <rPr>
        <i/>
        <sz val="9"/>
        <rFont val="Arial"/>
        <family val="2"/>
      </rPr>
      <t xml:space="preserve"> Divide</t>
    </r>
    <r>
      <rPr>
        <sz val="9"/>
        <rFont val="Arial"/>
      </rPr>
      <t xml:space="preserve"> Inventory turnover ratio </t>
    </r>
    <r>
      <rPr>
        <u/>
        <sz val="9"/>
        <rFont val="Arial"/>
        <family val="2"/>
      </rPr>
      <t>before</t>
    </r>
    <r>
      <rPr>
        <sz val="9"/>
        <rFont val="Arial"/>
      </rPr>
      <t xml:space="preserve"> this analysis adjustment</t>
    </r>
  </si>
  <si>
    <r>
      <t xml:space="preserve"> Dr. Increase net income (NI) or  Cr. Decrease NI (</t>
    </r>
    <r>
      <rPr>
        <u/>
        <sz val="9"/>
        <rFont val="Arial"/>
        <family val="2"/>
      </rPr>
      <t>not</t>
    </r>
    <r>
      <rPr>
        <sz val="9"/>
        <rFont val="Arial"/>
      </rPr>
      <t xml:space="preserve"> retained earnings in BS)</t>
    </r>
  </si>
  <si>
    <t xml:space="preserve"> Dr. Increase or Cr. Decrease income tax provision (i.e., expense)</t>
  </si>
  <si>
    <t>NOA turnover</t>
  </si>
  <si>
    <t>NOPAT margin</t>
  </si>
  <si>
    <t xml:space="preserve"> Inventory Cost-Flow Assumption</t>
  </si>
  <si>
    <t xml:space="preserve"> Noncancellable Commitments</t>
  </si>
  <si>
    <t xml:space="preserve"> Guaranteed Unconsolidated Debt</t>
  </si>
  <si>
    <t xml:space="preserve"> Capitalized Interest </t>
  </si>
  <si>
    <t xml:space="preserve"> Gains on Investments or PP&amp;E</t>
  </si>
  <si>
    <t xml:space="preserve"> Financial Elements of Pension Costs</t>
  </si>
  <si>
    <t xml:space="preserve"> Operating Lease Commitments</t>
  </si>
  <si>
    <t xml:space="preserve"> Impairment or Restructuring Charges</t>
  </si>
  <si>
    <t xml:space="preserve"> Early Retirement, Restructuring Debt</t>
  </si>
  <si>
    <r>
      <t>The facilitator will grade this assignment</t>
    </r>
    <r>
      <rPr>
        <sz val="9"/>
        <rFont val="Arial"/>
      </rPr>
      <t xml:space="preserve">, </t>
    </r>
    <r>
      <rPr>
        <b/>
        <sz val="9"/>
        <rFont val="Arial"/>
        <family val="2"/>
      </rPr>
      <t>assigning up to 100 points for it</t>
    </r>
    <r>
      <rPr>
        <sz val="9"/>
        <rFont val="Arial"/>
      </rPr>
      <t xml:space="preserve">, </t>
    </r>
    <r>
      <rPr>
        <b/>
        <sz val="9"/>
        <rFont val="Arial"/>
        <family val="2"/>
      </rPr>
      <t>as follows</t>
    </r>
    <r>
      <rPr>
        <sz val="9"/>
        <rFont val="Arial"/>
      </rPr>
      <t>:</t>
    </r>
  </si>
  <si>
    <r>
      <t>The facilitator will grade this assignment</t>
    </r>
    <r>
      <rPr>
        <sz val="9"/>
        <rFont val="Arial"/>
      </rPr>
      <t xml:space="preserve">, </t>
    </r>
    <r>
      <rPr>
        <b/>
        <sz val="9"/>
        <rFont val="Arial"/>
        <family val="2"/>
      </rPr>
      <t>assigning up to 100 points for it</t>
    </r>
    <r>
      <rPr>
        <sz val="9"/>
        <rFont val="Arial"/>
      </rPr>
      <t>,</t>
    </r>
    <r>
      <rPr>
        <b/>
        <sz val="9"/>
        <rFont val="Arial"/>
        <family val="2"/>
      </rPr>
      <t xml:space="preserve"> as follows</t>
    </r>
    <r>
      <rPr>
        <sz val="9"/>
        <rFont val="Arial"/>
      </rPr>
      <t>:</t>
    </r>
  </si>
  <si>
    <r>
      <t>Worksheet Tab Label</t>
    </r>
    <r>
      <rPr>
        <sz val="9"/>
        <rFont val="Arial"/>
      </rPr>
      <t>:</t>
    </r>
  </si>
  <si>
    <t xml:space="preserve"> Oper Lease Adjust 5</t>
  </si>
  <si>
    <t>Type of Analysis Adjustment</t>
  </si>
  <si>
    <r>
      <t xml:space="preserve">Reminder: Amounts of these items are </t>
    </r>
    <r>
      <rPr>
        <u val="singleAccounting"/>
        <sz val="9"/>
        <color indexed="10"/>
        <rFont val="Arial"/>
        <family val="2"/>
      </rPr>
      <t>after</t>
    </r>
    <r>
      <rPr>
        <sz val="9"/>
        <color indexed="10"/>
        <rFont val="Arial"/>
        <family val="2"/>
      </rPr>
      <t xml:space="preserve"> analysis adjustments</t>
    </r>
  </si>
  <si>
    <t xml:space="preserve">   RNOA, NOPAT margin, and NOA turnover</t>
  </si>
  <si>
    <t xml:space="preserve">   Disaggregated NOPAT margin ratios</t>
  </si>
  <si>
    <t xml:space="preserve">   Operating cycle ("days") ratios</t>
  </si>
  <si>
    <t xml:space="preserve">   Disaggregated NOA turnover ratios</t>
  </si>
  <si>
    <t xml:space="preserve">   Leverage, NFR, and ROCE ratios</t>
  </si>
  <si>
    <t>Week 5 Projected Financial Statements Assignment Grading Rubric</t>
  </si>
  <si>
    <t>Week 4 RNOA and ROCE Analysis Assignment Grading Rubric</t>
  </si>
  <si>
    <r>
      <t xml:space="preserve">Week 4 OCF </t>
    </r>
    <r>
      <rPr>
        <sz val="9"/>
        <color indexed="18"/>
        <rFont val="Arial"/>
        <family val="2"/>
      </rPr>
      <t>(</t>
    </r>
    <r>
      <rPr>
        <b/>
        <sz val="9"/>
        <color indexed="18"/>
        <rFont val="Arial"/>
        <family val="2"/>
      </rPr>
      <t>Earnings Quality</t>
    </r>
    <r>
      <rPr>
        <sz val="9"/>
        <color indexed="18"/>
        <rFont val="Arial"/>
        <family val="2"/>
      </rPr>
      <t>)</t>
    </r>
    <r>
      <rPr>
        <b/>
        <sz val="9"/>
        <color indexed="18"/>
        <rFont val="Arial"/>
        <family val="2"/>
      </rPr>
      <t xml:space="preserve"> and FCF </t>
    </r>
    <r>
      <rPr>
        <sz val="9"/>
        <color indexed="18"/>
        <rFont val="Arial"/>
        <family val="2"/>
      </rPr>
      <t>(</t>
    </r>
    <r>
      <rPr>
        <b/>
        <sz val="9"/>
        <color indexed="18"/>
        <rFont val="Arial"/>
        <family val="2"/>
      </rPr>
      <t>Financial Flexibility</t>
    </r>
    <r>
      <rPr>
        <sz val="9"/>
        <color indexed="18"/>
        <rFont val="Arial"/>
        <family val="2"/>
      </rPr>
      <t>)</t>
    </r>
    <r>
      <rPr>
        <b/>
        <sz val="9"/>
        <color indexed="18"/>
        <rFont val="Arial"/>
        <family val="2"/>
      </rPr>
      <t xml:space="preserve"> Analyses Assignment Grading Rubric</t>
    </r>
  </si>
  <si>
    <t xml:space="preserve">   Projected amounts of other financial statement elements are correct</t>
  </si>
  <si>
    <t>Based on completed work in separate Sales Projection workbook tab.  SALES PROJECTION IS MOST CRITICAL COMPONENT OF PROJECTED FS.  THEREFORE, PERFORM THOROUGH RESEARCH AND COLLABORATE CLOSELY TO DEVELOP IT</t>
  </si>
  <si>
    <t>[For the Week 1 assignment, replace this text with your analysis comments.  (If this is the copy of workbook you are using to complete the group project, you are not required to provide analysis comments; but, you may use this cell to record notes.)]</t>
  </si>
  <si>
    <t xml:space="preserve">   Projected values for "financial driver assumptions" are correct</t>
  </si>
  <si>
    <t>Week 5 Sales Projection Assignment Grading Rubric</t>
  </si>
  <si>
    <t xml:space="preserve">   Historical-year amounts and assumptions used in projection are correct</t>
  </si>
  <si>
    <t xml:space="preserve">   Analysis, projection computations, and presentation are complete, concise, clear, and correct</t>
  </si>
  <si>
    <t>Week 6 Residual Income (RI) Model (Intrinsic Value of Common Equity) Assignment Grading Rubric</t>
  </si>
  <si>
    <t xml:space="preserve">   Values of "financial driver assumptions" and beta (β) used in model are correct</t>
  </si>
  <si>
    <t>Week 6 Estimated Long-run Average Tax Rate Analysis Assignment Grading Rubric</t>
  </si>
  <si>
    <t>Labels and amounts in analysis correctly reflect “expected-to-actual tax” reconciliations (in "income tax" FS footnotes) obtained from company's Annual Reports on Form 10-K)</t>
  </si>
  <si>
    <t>Estimated long-run average tax rate computed correctly using "expected-to-actual tax" information and assumptions provided</t>
  </si>
  <si>
    <t>Average days purchase in AP and accrued liab. (DPO)</t>
  </si>
  <si>
    <t>Typically projected as $0 because these are non-recurring or unusual items, subjected to analysis adjustments</t>
  </si>
  <si>
    <t>Stock-based compensation expense</t>
  </si>
  <si>
    <t>Typically projected based on average or trend of past five FYs amounts (related expense included in SG&amp;A, in IS)</t>
  </si>
  <si>
    <t>ROE (ROCE)</t>
  </si>
  <si>
    <r>
      <t xml:space="preserve">Analysis of </t>
    </r>
    <r>
      <rPr>
        <b/>
        <sz val="9"/>
        <rFont val="Arial"/>
        <family val="2"/>
      </rPr>
      <t>changes in balance sheet mix</t>
    </r>
    <r>
      <rPr>
        <sz val="9"/>
        <rFont val="Arial"/>
      </rPr>
      <t>, focusing on business or financial implications and relationship to other changes in balance sheet mix, is complete, concise, clear, and convincing:</t>
    </r>
  </si>
  <si>
    <r>
      <t xml:space="preserve">[For the Week 4 assignment, replace this text with your analysis comments.  (If this is the copy of workbook you are using to complete the group project, you are </t>
    </r>
    <r>
      <rPr>
        <u/>
        <sz val="9"/>
        <color indexed="18"/>
        <rFont val="Arial"/>
        <family val="2"/>
      </rPr>
      <t>not</t>
    </r>
    <r>
      <rPr>
        <sz val="9"/>
        <color indexed="18"/>
        <rFont val="Arial"/>
        <family val="2"/>
      </rPr>
      <t xml:space="preserve"> required to provide analysis comments.  Of course, you may use this cell to record your notes, but the facilitator will not grade them.). (Note that "Projected" FY amounts at left will indicate "#DIV/0!" until the "Projected FS" worksheet is completed subsequently)]</t>
    </r>
  </si>
  <si>
    <r>
      <t xml:space="preserve">[For the Week 1 assignment, replace this text with your analysis comments.  (If this is the copy of workbook you are using to complete the group project, you are </t>
    </r>
    <r>
      <rPr>
        <u/>
        <sz val="9"/>
        <color indexed="18"/>
        <rFont val="Arial"/>
        <family val="2"/>
      </rPr>
      <t>not</t>
    </r>
    <r>
      <rPr>
        <sz val="9"/>
        <color indexed="18"/>
        <rFont val="Arial"/>
        <family val="2"/>
      </rPr>
      <t xml:space="preserve"> required to provide analysis comments; but, you may use this cell to record notes.)]</t>
    </r>
  </si>
  <si>
    <r>
      <t xml:space="preserve"> Return on net operating assets</t>
    </r>
    <r>
      <rPr>
        <sz val="9"/>
        <rFont val="Arial"/>
      </rPr>
      <t xml:space="preserve"> (</t>
    </r>
    <r>
      <rPr>
        <b/>
        <sz val="9"/>
        <rFont val="Arial"/>
        <family val="2"/>
      </rPr>
      <t>RNOA</t>
    </r>
    <r>
      <rPr>
        <sz val="9"/>
        <rFont val="Arial"/>
      </rPr>
      <t>)</t>
    </r>
  </si>
  <si>
    <r>
      <t xml:space="preserve"> Net financial rate</t>
    </r>
    <r>
      <rPr>
        <sz val="9"/>
        <rFont val="Arial"/>
      </rPr>
      <t xml:space="preserve"> (</t>
    </r>
    <r>
      <rPr>
        <b/>
        <sz val="9"/>
        <rFont val="Arial"/>
        <family val="2"/>
      </rPr>
      <t>NFR</t>
    </r>
    <r>
      <rPr>
        <sz val="9"/>
        <rFont val="Arial"/>
      </rPr>
      <t>)</t>
    </r>
  </si>
  <si>
    <r>
      <t xml:space="preserve"> Return on common equity</t>
    </r>
    <r>
      <rPr>
        <sz val="9"/>
        <rFont val="Arial"/>
      </rPr>
      <t xml:space="preserve"> (</t>
    </r>
    <r>
      <rPr>
        <b/>
        <sz val="9"/>
        <rFont val="Arial"/>
        <family val="2"/>
      </rPr>
      <t>ROCE</t>
    </r>
    <r>
      <rPr>
        <sz val="9"/>
        <rFont val="Arial"/>
      </rPr>
      <t xml:space="preserve">) </t>
    </r>
  </si>
  <si>
    <t>Computational notes on projected FY's amounts</t>
  </si>
  <si>
    <t>From last FY's BS (rounded)</t>
  </si>
  <si>
    <r>
      <t xml:space="preserve">For each ratio, analysis comments address the </t>
    </r>
    <r>
      <rPr>
        <sz val="9"/>
        <rFont val="Arial"/>
      </rPr>
      <t xml:space="preserve">trend, focusing on the business or financial implications and the relationship of the trends to trends in </t>
    </r>
    <r>
      <rPr>
        <i/>
        <sz val="9"/>
        <rFont val="Arial"/>
        <family val="2"/>
      </rPr>
      <t>other</t>
    </r>
    <r>
      <rPr>
        <sz val="9"/>
        <rFont val="Arial"/>
      </rPr>
      <t xml:space="preserve"> ratios.  Comments are complete, concise, clear, and convincing.</t>
    </r>
  </si>
  <si>
    <t>Income tax provision</t>
  </si>
  <si>
    <t>Residual balance of projected total noncurrent liabilities LESS projected balances of: capital lease obligations (noncurrent) and DIT and other noncurrent liabilities</t>
  </si>
  <si>
    <t>Input all dollar amounts in MILLIONS, NOT thousands</t>
  </si>
  <si>
    <t>. . . projected FS.  Instead, ENTER projected FY current and noncurrent borrowing "by hand" INTO THIS FORMULA by viewing the relevant projected BS amounts in Column G, below.</t>
  </si>
  <si>
    <t>Disaggregated Return on Common Equity</t>
  </si>
  <si>
    <t>.</t>
  </si>
  <si>
    <r>
      <t>Note</t>
    </r>
    <r>
      <rPr>
        <sz val="9"/>
        <color indexed="10"/>
        <rFont val="Arial"/>
        <family val="2"/>
      </rPr>
      <t xml:space="preserve">: </t>
    </r>
    <r>
      <rPr>
        <b/>
        <sz val="9"/>
        <color indexed="10"/>
        <rFont val="Arial"/>
        <family val="2"/>
      </rPr>
      <t>Use care not to delete, hide or reorder workbook tabs</t>
    </r>
    <r>
      <rPr>
        <sz val="9"/>
        <color indexed="10"/>
        <rFont val="Arial"/>
        <family val="2"/>
      </rPr>
      <t xml:space="preserve"> (</t>
    </r>
    <r>
      <rPr>
        <b/>
        <sz val="9"/>
        <color indexed="10"/>
        <rFont val="Arial"/>
        <family val="2"/>
      </rPr>
      <t>worksheets</t>
    </r>
    <r>
      <rPr>
        <sz val="9"/>
        <color indexed="10"/>
        <rFont val="Arial"/>
        <family val="2"/>
      </rPr>
      <t xml:space="preserve">) </t>
    </r>
    <r>
      <rPr>
        <b/>
        <sz val="9"/>
        <color indexed="10"/>
        <rFont val="Arial"/>
        <family val="2"/>
      </rPr>
      <t>in this workbook</t>
    </r>
    <r>
      <rPr>
        <sz val="9"/>
        <color indexed="10"/>
        <rFont val="Arial"/>
        <family val="2"/>
      </rPr>
      <t xml:space="preserve">. </t>
    </r>
  </si>
  <si>
    <r>
      <t xml:space="preserve"> Obtain from </t>
    </r>
    <r>
      <rPr>
        <b/>
        <sz val="9"/>
        <color indexed="10"/>
        <rFont val="Arial"/>
        <family val="2"/>
      </rPr>
      <t>Financial Ratios</t>
    </r>
    <r>
      <rPr>
        <sz val="9"/>
        <color indexed="10"/>
        <rFont val="Arial"/>
        <family val="2"/>
      </rPr>
      <t xml:space="preserve"> workbook tab and input manually (to avoid self-referential results)</t>
    </r>
  </si>
  <si>
    <r>
      <t xml:space="preserve">[For the Week 1 assignment, replace this text with your analysis comments.  (If this is the copy of workbook you are using to complete the group project, you are </t>
    </r>
    <r>
      <rPr>
        <u/>
        <sz val="9"/>
        <color indexed="18"/>
        <rFont val="Arial"/>
        <family val="2"/>
      </rPr>
      <t>not</t>
    </r>
    <r>
      <rPr>
        <sz val="9"/>
        <color indexed="18"/>
        <rFont val="Arial"/>
        <family val="2"/>
      </rPr>
      <t xml:space="preserve"> required to provide analysis comments.  Of course, you may use this cell to record your notes, but the facilitator will not grade them.)]</t>
    </r>
  </si>
  <si>
    <t>Key Competitor ratios</t>
  </si>
  <si>
    <t>Nordstrom Inc</t>
  </si>
  <si>
    <t>Macy's Inc.</t>
  </si>
  <si>
    <t>Dillard's, Inc.</t>
  </si>
  <si>
    <t>The Gap, Inc.</t>
  </si>
  <si>
    <t>Penney (J.C.) Co.,Inc. (Holding Co.)</t>
  </si>
  <si>
    <t xml:space="preserve"> </t>
  </si>
  <si>
    <t>Abercrombie &amp; Fitch, Inc.</t>
  </si>
  <si>
    <r>
      <rPr>
        <b/>
        <sz val="9"/>
        <rFont val="Arial"/>
        <family val="2"/>
      </rPr>
      <t xml:space="preserve"> (1)</t>
    </r>
    <r>
      <rPr>
        <sz val="9"/>
        <rFont val="Arial"/>
      </rPr>
      <t xml:space="preserve"> Mergent does NOT provide this ratio.  Compute this ratio using firms' financial statements included in their respective Annual Reports on Forms 10-K.  See </t>
    </r>
    <r>
      <rPr>
        <b/>
        <sz val="9"/>
        <color indexed="53"/>
        <rFont val="Arial"/>
        <family val="2"/>
      </rPr>
      <t>Financial Ratios</t>
    </r>
    <r>
      <rPr>
        <sz val="9"/>
        <rFont val="Arial"/>
      </rPr>
      <t xml:space="preserve"> tab</t>
    </r>
  </si>
  <si>
    <t>N/A</t>
  </si>
  <si>
    <t>Bad Debt Provision</t>
  </si>
  <si>
    <t>Other various impairment (pg 45)</t>
    <phoneticPr fontId="137" type="noConversion"/>
  </si>
  <si>
    <t>[For the Week 1 assignment, replace this text with your analysis comments.  (If this is the copy of workbook you are using to complete the group project, you are not required to provide analysis comments.  Of course, you may use this cell to record your notes, but the facilitator will not grade them.)]</t>
  </si>
  <si>
    <t xml:space="preserve">   Total</t>
  </si>
  <si>
    <t>Payments due in:</t>
  </si>
  <si>
    <t xml:space="preserve">   FY following date of balance sheet (BS)</t>
  </si>
  <si>
    <t xml:space="preserve">   Second FY following BS date</t>
  </si>
  <si>
    <t xml:space="preserve">   Third FY following BS date</t>
  </si>
  <si>
    <t xml:space="preserve">   Fourth FY following BS date</t>
  </si>
  <si>
    <t xml:space="preserve">   Fifth FY following BS date</t>
  </si>
  <si>
    <t xml:space="preserve">   All subsequent FYs following BS date</t>
  </si>
  <si>
    <r>
      <t xml:space="preserve">[For the Week 4 assignment, replace this text with your analysis comments.  (If this is the copy of workbook you are using to complete the group project, you are </t>
    </r>
    <r>
      <rPr>
        <u/>
        <sz val="9"/>
        <color indexed="18"/>
        <rFont val="Arial"/>
        <family val="2"/>
      </rPr>
      <t>not</t>
    </r>
    <r>
      <rPr>
        <sz val="9"/>
        <color indexed="18"/>
        <rFont val="Arial"/>
        <family val="2"/>
      </rPr>
      <t xml:space="preserve"> required to provide analysis comments, but may use this cell to record your notes.)]</t>
    </r>
  </si>
  <si>
    <r>
      <t xml:space="preserve">[For the Week 4 assignment, replace this text with your analysis comments.  (If this is the copy of workbook you are using to complete the group project, you are </t>
    </r>
    <r>
      <rPr>
        <u/>
        <sz val="9"/>
        <color indexed="18"/>
        <rFont val="Arial"/>
        <family val="2"/>
      </rPr>
      <t>not</t>
    </r>
    <r>
      <rPr>
        <sz val="9"/>
        <color indexed="18"/>
        <rFont val="Arial"/>
        <family val="2"/>
      </rPr>
      <t xml:space="preserve"> required to provide analysis comments.  Of course, you may use this cell to record your notes, but the facilitator will not grade them.)]</t>
    </r>
  </si>
  <si>
    <t>Average of past 3 years</t>
  </si>
  <si>
    <t xml:space="preserve"> Inventory (LOCOM, retail average cost)</t>
  </si>
  <si>
    <t xml:space="preserve"> COS (LOCOM, retail average cost)</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</si>
</sst>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0.0%"/>
    <numFmt numFmtId="168" formatCode="_(* #,##0.0_);_(* \(#,##0.0\);_(* &quot;-&quot;??_);_(@_)"/>
    <numFmt numFmtId="169" formatCode="_(* #,##0.00_);_(* \(#,##0.00\);_(* &quot;-&quot;_);_(@_)"/>
    <numFmt numFmtId="170" formatCode="[$-409]mmm\-yy;@"/>
    <numFmt numFmtId="171" formatCode="0.0"/>
    <numFmt numFmtId="172" formatCode="_(* #,##0_);_(* \(#,##0\);_(* &quot;-&quot;?_);_(@_)"/>
    <numFmt numFmtId="173" formatCode="_(* #,##0.000_);_(* \(#,##0.000\);_(* &quot;-&quot;_);_(@_)"/>
    <numFmt numFmtId="174" formatCode="0_);\(0\)"/>
    <numFmt numFmtId="175" formatCode="#,##0.0_);\(#,##0.0\)"/>
    <numFmt numFmtId="176" formatCode="_(&quot;$&quot;* #,##0.0_);_(&quot;$&quot;* \(#,##0.0\);_(&quot;$&quot;* &quot;-&quot;?_);_(@_)"/>
    <numFmt numFmtId="177" formatCode="_(* #,##0.0000_);_(* \(#,##0.0000\);_(* &quot;-&quot;????_);_(@_)"/>
    <numFmt numFmtId="178" formatCode="#,##0.0"/>
    <numFmt numFmtId="179" formatCode="&quot;$&quot;#,##0.00"/>
    <numFmt numFmtId="180" formatCode="_(* #,##0.000_);_(* \(#,##0.000\);_(* &quot;-&quot;???_);_(@_)"/>
    <numFmt numFmtId="181" formatCode="_(* #,##0_);_(* \(#,##0\);_(* &quot;-&quot;??_);_(@_)"/>
    <numFmt numFmtId="182" formatCode="_(* #,##0.000000_);_(* \(#,##0.000000\);_(* &quot;-&quot;_);_(@_)"/>
  </numFmts>
  <fonts count="140" x14ac:knownFonts="1">
    <font>
      <sz val="9"/>
      <name val="Arial"/>
    </font>
    <font>
      <sz val="11"/>
      <color theme="1"/>
      <name val="Calibri"/>
      <family val="2"/>
      <scheme val="minor"/>
    </font>
    <font>
      <sz val="9"/>
      <name val="Arial"/>
    </font>
    <font>
      <b/>
      <sz val="8"/>
      <name val="Arial"/>
      <family val="2"/>
    </font>
    <font>
      <sz val="9"/>
      <name val="Arial"/>
    </font>
    <font>
      <b/>
      <u val="singleAccounting"/>
      <sz val="8"/>
      <name val="Arial"/>
      <family val="2"/>
    </font>
    <font>
      <i/>
      <sz val="8"/>
      <name val="Arial"/>
      <family val="2"/>
    </font>
    <font>
      <i/>
      <sz val="9"/>
      <name val="Arial"/>
      <family val="2"/>
    </font>
    <font>
      <sz val="8"/>
      <name val="Arial"/>
      <family val="2"/>
    </font>
    <font>
      <u/>
      <sz val="9"/>
      <name val="Arial"/>
      <family val="2"/>
    </font>
    <font>
      <b/>
      <sz val="9"/>
      <name val="Arial"/>
      <family val="2"/>
    </font>
    <font>
      <sz val="9"/>
      <color indexed="8"/>
      <name val="Arial"/>
      <family val="2"/>
    </font>
    <font>
      <sz val="9"/>
      <color indexed="8"/>
      <name val="Arial"/>
      <family val="2"/>
    </font>
    <font>
      <b/>
      <u/>
      <sz val="8"/>
      <name val="Arial"/>
      <family val="2"/>
    </font>
    <font>
      <b/>
      <u val="singleAccounting"/>
      <sz val="8"/>
      <color indexed="8"/>
      <name val="Arial"/>
      <family val="2"/>
    </font>
    <font>
      <vertAlign val="subscript"/>
      <sz val="9"/>
      <name val="Arial"/>
      <family val="2"/>
    </font>
    <font>
      <u/>
      <sz val="8"/>
      <name val="Arial"/>
      <family val="2"/>
    </font>
    <font>
      <u val="singleAccounting"/>
      <sz val="9"/>
      <name val="Arial"/>
      <family val="2"/>
    </font>
    <font>
      <b/>
      <vertAlign val="subscript"/>
      <sz val="9"/>
      <name val="Arial"/>
      <family val="2"/>
    </font>
    <font>
      <b/>
      <sz val="9"/>
      <color indexed="18"/>
      <name val="Arial"/>
      <family val="2"/>
    </font>
    <font>
      <b/>
      <sz val="9"/>
      <name val="Arial Narrow"/>
      <family val="2"/>
    </font>
    <font>
      <sz val="9"/>
      <name val="Arial Narrow"/>
      <family val="2"/>
    </font>
    <font>
      <b/>
      <sz val="8"/>
      <color indexed="32"/>
      <name val="Arial"/>
      <family val="2"/>
    </font>
    <font>
      <sz val="8"/>
      <color indexed="32"/>
      <name val="Arial"/>
      <family val="2"/>
    </font>
    <font>
      <u/>
      <sz val="8"/>
      <color indexed="32"/>
      <name val="Arial"/>
      <family val="2"/>
    </font>
    <font>
      <b/>
      <i/>
      <sz val="9"/>
      <name val="Arial"/>
      <family val="2"/>
    </font>
    <font>
      <sz val="9"/>
      <color indexed="81"/>
      <name val="Tahoma"/>
      <family val="2"/>
    </font>
    <font>
      <sz val="10"/>
      <name val="Arial"/>
      <family val="2"/>
    </font>
    <font>
      <sz val="11"/>
      <name val="Arial"/>
      <family val="2"/>
    </font>
    <font>
      <b/>
      <vertAlign val="subscript"/>
      <sz val="10"/>
      <name val="Arial"/>
      <family val="2"/>
    </font>
    <font>
      <b/>
      <sz val="10"/>
      <name val="Arial Narrow"/>
      <family val="2"/>
    </font>
    <font>
      <b/>
      <sz val="8"/>
      <name val="Arial Narrow"/>
      <family val="2"/>
    </font>
    <font>
      <u val="singleAccounting"/>
      <sz val="8"/>
      <color indexed="8"/>
      <name val="Arial"/>
      <family val="2"/>
    </font>
    <font>
      <b/>
      <i/>
      <u val="singleAccounting"/>
      <sz val="8"/>
      <color indexed="8"/>
      <name val="Arial"/>
      <family val="2"/>
    </font>
    <font>
      <b/>
      <u val="singleAccounting"/>
      <sz val="8"/>
      <color indexed="18"/>
      <name val="Arial"/>
      <family val="2"/>
    </font>
    <font>
      <b/>
      <u val="singleAccounting"/>
      <sz val="8"/>
      <color indexed="8"/>
      <name val="Arial Narrow"/>
      <family val="2"/>
    </font>
    <font>
      <vertAlign val="superscript"/>
      <sz val="10"/>
      <name val="Arial"/>
      <family val="2"/>
    </font>
    <font>
      <sz val="10"/>
      <name val="Arial Narrow"/>
      <family val="2"/>
    </font>
    <font>
      <sz val="9"/>
      <color indexed="81"/>
      <name val="Arial"/>
      <family val="2"/>
    </font>
    <font>
      <b/>
      <vertAlign val="superscript"/>
      <sz val="10"/>
      <name val="Arial Narrow"/>
      <family val="2"/>
    </font>
    <font>
      <vertAlign val="subscript"/>
      <sz val="10"/>
      <name val="Arial"/>
      <family val="2"/>
    </font>
    <font>
      <vertAlign val="superscript"/>
      <sz val="11"/>
      <name val="Arial"/>
      <family val="2"/>
    </font>
    <font>
      <sz val="8"/>
      <color indexed="81"/>
      <name val="Arial"/>
      <family val="2"/>
    </font>
    <font>
      <b/>
      <sz val="8"/>
      <color indexed="81"/>
      <name val="Arial"/>
      <family val="2"/>
    </font>
    <font>
      <u/>
      <sz val="8"/>
      <color indexed="81"/>
      <name val="Arial"/>
      <family val="2"/>
    </font>
    <font>
      <i/>
      <sz val="8"/>
      <color indexed="81"/>
      <name val="Arial"/>
      <family val="2"/>
    </font>
    <font>
      <b/>
      <i/>
      <sz val="8"/>
      <color indexed="81"/>
      <name val="Arial"/>
      <family val="2"/>
    </font>
    <font>
      <b/>
      <vertAlign val="subscript"/>
      <sz val="9"/>
      <color indexed="81"/>
      <name val="Arial"/>
      <family val="2"/>
    </font>
    <font>
      <b/>
      <sz val="10"/>
      <name val="Arial"/>
      <family val="2"/>
    </font>
    <font>
      <b/>
      <u val="singleAccounting"/>
      <sz val="9"/>
      <name val="Arial"/>
      <family val="2"/>
    </font>
    <font>
      <b/>
      <sz val="8"/>
      <color indexed="10"/>
      <name val="Arial"/>
      <family val="2"/>
    </font>
    <font>
      <sz val="8"/>
      <color indexed="10"/>
      <name val="Arial"/>
      <family val="2"/>
    </font>
    <font>
      <sz val="9"/>
      <color indexed="18"/>
      <name val="Arial"/>
      <family val="2"/>
    </font>
    <font>
      <sz val="8"/>
      <color indexed="18"/>
      <name val="Arial"/>
      <family val="2"/>
    </font>
    <font>
      <sz val="9"/>
      <color indexed="10"/>
      <name val="Arial"/>
      <family val="2"/>
    </font>
    <font>
      <b/>
      <sz val="9"/>
      <color indexed="10"/>
      <name val="Arial"/>
      <family val="2"/>
    </font>
    <font>
      <b/>
      <sz val="9"/>
      <color indexed="18"/>
      <name val="Arial"/>
      <family val="2"/>
    </font>
    <font>
      <sz val="9"/>
      <color indexed="10"/>
      <name val="Arial Narrow"/>
      <family val="2"/>
    </font>
    <font>
      <b/>
      <sz val="8"/>
      <color indexed="18"/>
      <name val="Arial"/>
      <family val="2"/>
    </font>
    <font>
      <b/>
      <sz val="8"/>
      <color indexed="10"/>
      <name val="Arial"/>
      <family val="2"/>
    </font>
    <font>
      <sz val="8"/>
      <color indexed="10"/>
      <name val="Arial"/>
      <family val="2"/>
    </font>
    <font>
      <i/>
      <sz val="9"/>
      <color indexed="10"/>
      <name val="Arial"/>
      <family val="2"/>
    </font>
    <font>
      <sz val="10"/>
      <color indexed="10"/>
      <name val="Arial"/>
      <family val="2"/>
    </font>
    <font>
      <sz val="13"/>
      <color indexed="10"/>
      <name val="Arial"/>
      <family val="2"/>
    </font>
    <font>
      <b/>
      <sz val="11"/>
      <color indexed="10"/>
      <name val="Arial Narrow"/>
      <family val="2"/>
    </font>
    <font>
      <b/>
      <sz val="9"/>
      <color indexed="10"/>
      <name val="Arial Narrow"/>
      <family val="2"/>
    </font>
    <font>
      <i/>
      <sz val="8"/>
      <color indexed="10"/>
      <name val="Arial"/>
      <family val="2"/>
    </font>
    <font>
      <b/>
      <u val="singleAccounting"/>
      <sz val="8"/>
      <color indexed="10"/>
      <name val="Arial"/>
      <family val="2"/>
    </font>
    <font>
      <b/>
      <sz val="10"/>
      <color indexed="18"/>
      <name val="Arial"/>
      <family val="2"/>
    </font>
    <font>
      <sz val="9"/>
      <color indexed="32"/>
      <name val="Arial"/>
      <family val="2"/>
    </font>
    <font>
      <sz val="9"/>
      <color indexed="23"/>
      <name val="Arial"/>
      <family val="2"/>
    </font>
    <font>
      <sz val="9"/>
      <color indexed="63"/>
      <name val="Arial"/>
      <family val="2"/>
    </font>
    <font>
      <b/>
      <sz val="10"/>
      <color indexed="10"/>
      <name val="Arial"/>
      <family val="2"/>
    </font>
    <font>
      <sz val="10"/>
      <color indexed="19"/>
      <name val="Arial"/>
      <family val="2"/>
    </font>
    <font>
      <sz val="9"/>
      <color indexed="19"/>
      <name val="Arial"/>
      <family val="2"/>
    </font>
    <font>
      <b/>
      <sz val="9"/>
      <color indexed="19"/>
      <name val="Arial"/>
      <family val="2"/>
    </font>
    <font>
      <b/>
      <sz val="10"/>
      <color indexed="10"/>
      <name val="Arial Narrow"/>
      <family val="2"/>
    </font>
    <font>
      <sz val="10"/>
      <color indexed="18"/>
      <name val="Arial Narrow"/>
      <family val="2"/>
    </font>
    <font>
      <sz val="8"/>
      <name val="Arial Narrow"/>
      <family val="2"/>
    </font>
    <font>
      <i/>
      <sz val="9"/>
      <color indexed="18"/>
      <name val="Arial"/>
      <family val="2"/>
    </font>
    <font>
      <b/>
      <u/>
      <sz val="8"/>
      <color indexed="81"/>
      <name val="Arial"/>
      <family val="2"/>
    </font>
    <font>
      <b/>
      <sz val="9"/>
      <color indexed="18"/>
      <name val="Arial Narrow"/>
      <family val="2"/>
    </font>
    <font>
      <sz val="9"/>
      <color indexed="18"/>
      <name val="Arial Narrow"/>
      <family val="2"/>
    </font>
    <font>
      <b/>
      <vertAlign val="superscript"/>
      <sz val="9"/>
      <color indexed="18"/>
      <name val="Arial Narrow"/>
      <family val="2"/>
    </font>
    <font>
      <b/>
      <sz val="9"/>
      <color indexed="63"/>
      <name val="Arial"/>
      <family val="2"/>
    </font>
    <font>
      <b/>
      <i/>
      <sz val="9"/>
      <name val="Arial Narrow"/>
      <family val="2"/>
    </font>
    <font>
      <b/>
      <u/>
      <sz val="8"/>
      <color indexed="10"/>
      <name val="Arial"/>
      <family val="2"/>
    </font>
    <font>
      <u/>
      <sz val="8"/>
      <color indexed="10"/>
      <name val="Arial"/>
      <family val="2"/>
    </font>
    <font>
      <b/>
      <i/>
      <sz val="10"/>
      <name val="Arial Narrow"/>
      <family val="2"/>
    </font>
    <font>
      <b/>
      <sz val="8.5"/>
      <name val="Arial Narrow"/>
      <family val="2"/>
    </font>
    <font>
      <sz val="8.5"/>
      <name val="Arial Narrow"/>
      <family val="2"/>
    </font>
    <font>
      <u/>
      <sz val="9"/>
      <color indexed="18"/>
      <name val="Arial"/>
      <family val="2"/>
    </font>
    <font>
      <b/>
      <u val="singleAccounting"/>
      <sz val="8"/>
      <name val="Arial Narrow"/>
      <family val="2"/>
    </font>
    <font>
      <b/>
      <sz val="10"/>
      <color indexed="19"/>
      <name val="Arial"/>
      <family val="2"/>
    </font>
    <font>
      <b/>
      <sz val="9"/>
      <color indexed="19"/>
      <name val="Arial Narrow"/>
      <family val="2"/>
    </font>
    <font>
      <sz val="8"/>
      <color indexed="10"/>
      <name val="Arial Narrow"/>
      <family val="2"/>
    </font>
    <font>
      <sz val="9"/>
      <name val="Calibri"/>
      <family val="2"/>
    </font>
    <font>
      <b/>
      <vertAlign val="superscript"/>
      <sz val="11"/>
      <name val="Arial"/>
      <family val="2"/>
    </font>
    <font>
      <b/>
      <sz val="11"/>
      <name val="Arial"/>
      <family val="2"/>
    </font>
    <font>
      <b/>
      <vertAlign val="superscript"/>
      <sz val="10"/>
      <name val="Arial"/>
      <family val="2"/>
    </font>
    <font>
      <b/>
      <u/>
      <sz val="9"/>
      <name val="Arial"/>
      <family val="2"/>
    </font>
    <font>
      <b/>
      <sz val="9"/>
      <color indexed="53"/>
      <name val="Arial"/>
      <family val="2"/>
    </font>
    <font>
      <b/>
      <sz val="10"/>
      <color indexed="53"/>
      <name val="Arial Narrow"/>
      <family val="2"/>
    </font>
    <font>
      <i/>
      <sz val="10"/>
      <name val="Arial Narrow"/>
      <family val="2"/>
    </font>
    <font>
      <b/>
      <sz val="8"/>
      <color indexed="81"/>
      <name val="Arial Narrow"/>
      <family val="2"/>
    </font>
    <font>
      <b/>
      <sz val="8"/>
      <color indexed="32"/>
      <name val="Arial Narrow"/>
      <family val="2"/>
    </font>
    <font>
      <b/>
      <sz val="9"/>
      <color indexed="14"/>
      <name val="Arial"/>
      <family val="2"/>
    </font>
    <font>
      <i/>
      <sz val="9"/>
      <name val="Arial Narrow"/>
      <family val="2"/>
    </font>
    <font>
      <b/>
      <sz val="9"/>
      <color indexed="17"/>
      <name val="Arial"/>
      <family val="2"/>
    </font>
    <font>
      <u val="singleAccounting"/>
      <sz val="9"/>
      <color indexed="10"/>
      <name val="Arial"/>
      <family val="2"/>
    </font>
    <font>
      <b/>
      <sz val="9"/>
      <color indexed="81"/>
      <name val="Arial"/>
      <family val="2"/>
    </font>
    <font>
      <sz val="9"/>
      <color indexed="10"/>
      <name val="Arial"/>
      <family val="2"/>
    </font>
    <font>
      <b/>
      <sz val="9"/>
      <color indexed="18"/>
      <name val="Arial"/>
      <family val="2"/>
    </font>
    <font>
      <b/>
      <sz val="9"/>
      <color theme="2" tint="-0.749992370372631"/>
      <name val="Arial"/>
      <family val="2"/>
    </font>
    <font>
      <b/>
      <sz val="8"/>
      <color theme="2" tint="-0.749992370372631"/>
      <name val="Arial"/>
      <family val="2"/>
    </font>
    <font>
      <sz val="10"/>
      <color theme="2" tint="-0.749992370372631"/>
      <name val="Arial Narrow"/>
      <family val="2"/>
    </font>
    <font>
      <sz val="9"/>
      <color theme="2" tint="-0.749992370372631"/>
      <name val="Arial"/>
      <family val="2"/>
    </font>
    <font>
      <i/>
      <sz val="9"/>
      <color indexed="10"/>
      <name val="Arial"/>
      <family val="2"/>
    </font>
    <font>
      <b/>
      <sz val="8"/>
      <color indexed="10"/>
      <name val="Arial"/>
      <family val="2"/>
    </font>
    <font>
      <sz val="9"/>
      <color indexed="18"/>
      <name val="Arial"/>
      <family val="2"/>
    </font>
    <font>
      <sz val="9"/>
      <color theme="1" tint="0.34998626667073579"/>
      <name val="Arial"/>
      <family val="2"/>
    </font>
    <font>
      <b/>
      <sz val="9"/>
      <color indexed="10"/>
      <name val="Arial"/>
      <family val="2"/>
    </font>
    <font>
      <b/>
      <sz val="9"/>
      <color theme="2" tint="-0.89999084444715716"/>
      <name val="Arial"/>
      <family val="2"/>
    </font>
    <font>
      <sz val="9"/>
      <color theme="2" tint="-0.89999084444715716"/>
      <name val="Arial"/>
      <family val="2"/>
    </font>
    <font>
      <b/>
      <i/>
      <sz val="9"/>
      <color indexed="10"/>
      <name val="Arial Narrow"/>
      <family val="2"/>
    </font>
    <font>
      <i/>
      <sz val="9"/>
      <color indexed="10"/>
      <name val="Arial Narrow"/>
      <family val="2"/>
    </font>
    <font>
      <b/>
      <sz val="9"/>
      <color indexed="10"/>
      <name val="Arial Narrow"/>
      <family val="2"/>
    </font>
    <font>
      <sz val="9"/>
      <color indexed="10"/>
      <name val="Arial Narrow"/>
      <family val="2"/>
    </font>
    <font>
      <i/>
      <sz val="9"/>
      <color theme="1" tint="0.249977111117893"/>
      <name val="Arial"/>
      <family val="2"/>
    </font>
    <font>
      <b/>
      <sz val="9"/>
      <color rgb="FFE27100"/>
      <name val="Arial"/>
      <family val="2"/>
    </font>
    <font>
      <b/>
      <sz val="9"/>
      <color rgb="FF009900"/>
      <name val="Arial"/>
      <family val="2"/>
    </font>
    <font>
      <b/>
      <sz val="9"/>
      <color indexed="20"/>
      <name val="Arial"/>
      <family val="2"/>
    </font>
    <font>
      <b/>
      <sz val="9"/>
      <color indexed="53"/>
      <name val="Arial"/>
      <family val="2"/>
    </font>
    <font>
      <b/>
      <sz val="9"/>
      <color rgb="FFFF33CC"/>
      <name val="Arial"/>
      <family val="2"/>
    </font>
    <font>
      <b/>
      <u val="singleAccounting"/>
      <sz val="8"/>
      <color indexed="10"/>
      <name val="Arial"/>
      <family val="2"/>
    </font>
    <font>
      <b/>
      <sz val="8"/>
      <color theme="2" tint="-0.89999084444715716"/>
      <name val="Arial"/>
      <family val="2"/>
    </font>
    <font>
      <b/>
      <sz val="8"/>
      <color indexed="10"/>
      <name val="Book Antiqua"/>
      <family val="1"/>
    </font>
    <font>
      <sz val="8"/>
      <name val="Verdana"/>
    </font>
    <font>
      <sz val="9"/>
      <color theme="7"/>
      <name val="Arial"/>
      <family val="2"/>
    </font>
    <font>
      <sz val="9"/>
      <color indexed="18"/>
      <name val="Arial"/>
      <family val="2"/>
    </font>
  </fonts>
  <fills count="2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indexed="46"/>
        <bgColor indexed="64"/>
      </patternFill>
    </fill>
    <fill>
      <patternFill patternType="solid">
        <fgColor indexed="4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66"/>
        <bgColor indexed="64"/>
      </patternFill>
    </fill>
    <fill>
      <patternFill patternType="solid">
        <fgColor rgb="FFFFFF99"/>
        <bgColor indexed="64"/>
      </patternFill>
    </fill>
    <fill>
      <patternFill patternType="solid">
        <fgColor rgb="FFFFCC66"/>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99FF66"/>
        <bgColor indexed="64"/>
      </patternFill>
    </fill>
    <fill>
      <patternFill patternType="solid">
        <fgColor rgb="FFB7DEE8"/>
        <bgColor indexed="64"/>
      </patternFill>
    </fill>
    <fill>
      <patternFill patternType="solid">
        <fgColor rgb="FFFFB265"/>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1" tint="0.34998626667073579"/>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0" tint="-0.499984740745262"/>
        <bgColor indexed="64"/>
      </patternFill>
    </fill>
    <fill>
      <patternFill patternType="solid">
        <fgColor theme="0" tint="-0.24994659260841701"/>
        <bgColor indexed="64"/>
      </patternFill>
    </fill>
    <fill>
      <patternFill patternType="solid">
        <fgColor indexed="55"/>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right/>
      <top/>
      <bottom style="thin">
        <color indexed="64"/>
      </bottom>
      <diagonal/>
    </border>
    <border>
      <left/>
      <right/>
      <top style="hair">
        <color indexed="64"/>
      </top>
      <bottom/>
      <diagonal/>
    </border>
    <border>
      <left/>
      <right/>
      <top style="thin">
        <color indexed="64"/>
      </top>
      <bottom style="thin">
        <color indexed="64"/>
      </bottom>
      <diagonal/>
    </border>
    <border>
      <left/>
      <right/>
      <top/>
      <bottom style="hair">
        <color indexed="64"/>
      </bottom>
      <diagonal/>
    </border>
    <border>
      <left/>
      <right/>
      <top style="thin">
        <color indexed="64"/>
      </top>
      <bottom style="medium">
        <color indexed="64"/>
      </bottom>
      <diagonal/>
    </border>
    <border>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right/>
      <top style="medium">
        <color indexed="64"/>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3"/>
      </left>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top/>
      <bottom style="thin">
        <color indexed="63"/>
      </bottom>
      <diagonal/>
    </border>
    <border>
      <left/>
      <right style="thin">
        <color indexed="63"/>
      </right>
      <top/>
      <bottom style="thin">
        <color indexed="63"/>
      </bottom>
      <diagonal/>
    </border>
    <border>
      <left style="thin">
        <color indexed="63"/>
      </left>
      <right/>
      <top/>
      <bottom/>
      <diagonal/>
    </border>
    <border>
      <left/>
      <right style="thin">
        <color indexed="63"/>
      </right>
      <top/>
      <bottom/>
      <diagonal/>
    </border>
    <border>
      <left style="thin">
        <color indexed="63"/>
      </left>
      <right style="thin">
        <color indexed="63"/>
      </right>
      <top style="thin">
        <color indexed="63"/>
      </top>
      <bottom/>
      <diagonal/>
    </border>
    <border>
      <left/>
      <right/>
      <top style="hair">
        <color indexed="63"/>
      </top>
      <bottom style="hair">
        <color indexed="63"/>
      </bottom>
      <diagonal/>
    </border>
    <border>
      <left/>
      <right/>
      <top style="medium">
        <color indexed="64"/>
      </top>
      <bottom style="medium">
        <color indexed="64"/>
      </bottom>
      <diagonal/>
    </border>
    <border>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3"/>
      </left>
      <right/>
      <top style="thin">
        <color indexed="63"/>
      </top>
      <bottom/>
      <diagonal/>
    </border>
    <border>
      <left/>
      <right style="thin">
        <color indexed="63"/>
      </right>
      <top style="thin">
        <color indexed="63"/>
      </top>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right style="thin">
        <color indexed="63"/>
      </right>
      <top style="thin">
        <color indexed="64"/>
      </top>
      <bottom style="thin">
        <color indexed="64"/>
      </bottom>
      <diagonal/>
    </border>
    <border>
      <left style="thin">
        <color indexed="63"/>
      </left>
      <right style="thin">
        <color indexed="63"/>
      </right>
      <top style="thin">
        <color indexed="64"/>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thin">
        <color indexed="63"/>
      </right>
      <top style="thin">
        <color indexed="64"/>
      </top>
      <bottom style="thin">
        <color indexed="64"/>
      </bottom>
      <diagonal/>
    </border>
    <border>
      <left style="thin">
        <color indexed="23"/>
      </left>
      <right style="thin">
        <color indexed="23"/>
      </right>
      <top style="thin">
        <color indexed="23"/>
      </top>
      <bottom/>
      <diagonal/>
    </border>
    <border>
      <left style="thin">
        <color indexed="23"/>
      </left>
      <right style="thin">
        <color indexed="23"/>
      </right>
      <top/>
      <bottom style="thin">
        <color indexed="23"/>
      </bottom>
      <diagonal/>
    </border>
    <border>
      <left/>
      <right/>
      <top style="medium">
        <color indexed="64"/>
      </top>
      <bottom style="hair">
        <color indexed="64"/>
      </bottom>
      <diagonal/>
    </border>
  </borders>
  <cellStyleXfs count="16">
    <xf numFmtId="0" fontId="0" fillId="0" borderId="0"/>
    <xf numFmtId="43" fontId="2"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0" fontId="4" fillId="0" borderId="0"/>
    <xf numFmtId="9" fontId="2" fillId="0" borderId="0" applyFont="0" applyFill="0" applyBorder="0" applyAlignment="0" applyProtection="0"/>
    <xf numFmtId="9" fontId="4"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cellStyleXfs>
  <cellXfs count="1428">
    <xf numFmtId="0" fontId="0" fillId="0" borderId="0" xfId="0"/>
    <xf numFmtId="41" fontId="0" fillId="0" borderId="0" xfId="0" applyNumberFormat="1" applyAlignment="1">
      <alignment vertical="center"/>
    </xf>
    <xf numFmtId="41" fontId="4" fillId="0" borderId="0" xfId="0" applyNumberFormat="1" applyFont="1" applyFill="1" applyAlignment="1">
      <alignment vertical="center"/>
    </xf>
    <xf numFmtId="9" fontId="0" fillId="0" borderId="0" xfId="6" applyFont="1" applyAlignment="1">
      <alignment vertical="center"/>
    </xf>
    <xf numFmtId="41" fontId="0" fillId="0" borderId="0" xfId="0" applyNumberFormat="1" applyFill="1" applyAlignment="1">
      <alignment vertical="center"/>
    </xf>
    <xf numFmtId="41" fontId="3" fillId="0" borderId="0" xfId="0" applyNumberFormat="1" applyFont="1" applyAlignment="1">
      <alignment vertical="center"/>
    </xf>
    <xf numFmtId="41" fontId="7" fillId="0" borderId="0" xfId="0" applyNumberFormat="1" applyFont="1" applyAlignment="1">
      <alignment vertical="center"/>
    </xf>
    <xf numFmtId="41" fontId="0" fillId="0" borderId="0" xfId="0" applyNumberFormat="1" applyBorder="1" applyAlignment="1">
      <alignment vertical="center"/>
    </xf>
    <xf numFmtId="42" fontId="0" fillId="0" borderId="3" xfId="0" applyNumberFormat="1" applyBorder="1" applyAlignment="1">
      <alignment vertical="center"/>
    </xf>
    <xf numFmtId="42" fontId="0" fillId="0" borderId="3" xfId="0" applyNumberFormat="1" applyFill="1" applyBorder="1" applyAlignment="1">
      <alignment vertical="center"/>
    </xf>
    <xf numFmtId="41" fontId="0" fillId="0" borderId="3" xfId="0" applyNumberFormat="1" applyBorder="1" applyAlignment="1">
      <alignment vertical="center"/>
    </xf>
    <xf numFmtId="41" fontId="0" fillId="0" borderId="4" xfId="0" applyNumberFormat="1" applyBorder="1" applyAlignment="1">
      <alignment vertical="center"/>
    </xf>
    <xf numFmtId="41" fontId="3" fillId="0" borderId="3" xfId="0" applyNumberFormat="1" applyFont="1" applyBorder="1" applyAlignment="1">
      <alignment vertical="center"/>
    </xf>
    <xf numFmtId="41" fontId="0" fillId="0" borderId="5" xfId="0" applyNumberFormat="1" applyBorder="1" applyAlignment="1">
      <alignment vertical="center"/>
    </xf>
    <xf numFmtId="41" fontId="0" fillId="0" borderId="6" xfId="0" applyNumberFormat="1" applyBorder="1" applyAlignment="1">
      <alignment vertical="center"/>
    </xf>
    <xf numFmtId="41" fontId="0" fillId="0" borderId="7" xfId="0" applyNumberFormat="1" applyBorder="1" applyAlignment="1">
      <alignment vertical="center"/>
    </xf>
    <xf numFmtId="41" fontId="0" fillId="0" borderId="8" xfId="0" applyNumberFormat="1" applyBorder="1" applyAlignment="1">
      <alignment vertical="center"/>
    </xf>
    <xf numFmtId="42" fontId="0" fillId="0" borderId="8" xfId="0" applyNumberFormat="1" applyBorder="1" applyAlignment="1">
      <alignment vertical="center"/>
    </xf>
    <xf numFmtId="41" fontId="3" fillId="0" borderId="0" xfId="0" applyNumberFormat="1" applyFont="1" applyBorder="1" applyAlignment="1">
      <alignment vertical="center"/>
    </xf>
    <xf numFmtId="41" fontId="3" fillId="0" borderId="7" xfId="0" applyNumberFormat="1" applyFont="1" applyBorder="1" applyAlignment="1">
      <alignment vertical="center"/>
    </xf>
    <xf numFmtId="41" fontId="0" fillId="0" borderId="9" xfId="0" applyNumberFormat="1" applyBorder="1" applyAlignment="1">
      <alignment vertical="center"/>
    </xf>
    <xf numFmtId="165" fontId="0" fillId="0" borderId="3" xfId="0" applyNumberFormat="1" applyBorder="1" applyAlignment="1">
      <alignment vertical="center"/>
    </xf>
    <xf numFmtId="41" fontId="0" fillId="0" borderId="0" xfId="0" applyNumberFormat="1" applyFill="1" applyBorder="1" applyAlignment="1">
      <alignment vertical="center"/>
    </xf>
    <xf numFmtId="41" fontId="3" fillId="0" borderId="0" xfId="0" applyNumberFormat="1" applyFont="1" applyFill="1" applyBorder="1" applyAlignment="1">
      <alignment vertical="center"/>
    </xf>
    <xf numFmtId="167" fontId="0" fillId="0" borderId="9" xfId="0" applyNumberFormat="1" applyBorder="1" applyAlignment="1">
      <alignment vertical="center"/>
    </xf>
    <xf numFmtId="41" fontId="3" fillId="0" borderId="0" xfId="0" applyNumberFormat="1" applyFont="1" applyFill="1" applyAlignment="1">
      <alignment vertical="center"/>
    </xf>
    <xf numFmtId="41" fontId="5" fillId="0" borderId="0" xfId="0" applyNumberFormat="1" applyFont="1" applyFill="1" applyAlignment="1">
      <alignment horizontal="centerContinuous" vertical="center"/>
    </xf>
    <xf numFmtId="41" fontId="0" fillId="0" borderId="3" xfId="0" applyNumberFormat="1" applyFill="1" applyBorder="1" applyAlignment="1">
      <alignment vertical="center"/>
    </xf>
    <xf numFmtId="41" fontId="0" fillId="0" borderId="7" xfId="0" applyNumberFormat="1" applyFill="1" applyBorder="1" applyAlignment="1">
      <alignment vertical="center"/>
    </xf>
    <xf numFmtId="41" fontId="0" fillId="0" borderId="8" xfId="0" applyNumberFormat="1" applyFill="1" applyBorder="1" applyAlignment="1">
      <alignment vertical="center"/>
    </xf>
    <xf numFmtId="0" fontId="0" fillId="0" borderId="0" xfId="0" applyBorder="1"/>
    <xf numFmtId="41" fontId="4" fillId="0" borderId="3" xfId="0" applyNumberFormat="1" applyFont="1" applyBorder="1" applyAlignment="1">
      <alignment vertical="center"/>
    </xf>
    <xf numFmtId="41" fontId="4" fillId="0" borderId="3" xfId="0" applyNumberFormat="1" applyFont="1" applyFill="1" applyBorder="1" applyAlignment="1">
      <alignment vertical="center"/>
    </xf>
    <xf numFmtId="41" fontId="4" fillId="0" borderId="7" xfId="0" applyNumberFormat="1" applyFont="1" applyBorder="1" applyAlignment="1">
      <alignment vertical="center"/>
    </xf>
    <xf numFmtId="41" fontId="4" fillId="0" borderId="9" xfId="0" applyNumberFormat="1" applyFont="1" applyBorder="1" applyAlignment="1">
      <alignment vertical="center"/>
    </xf>
    <xf numFmtId="41" fontId="0" fillId="0" borderId="9" xfId="0" applyNumberFormat="1" applyFill="1" applyBorder="1" applyAlignment="1">
      <alignment vertical="center"/>
    </xf>
    <xf numFmtId="41" fontId="4" fillId="0" borderId="0" xfId="0" applyNumberFormat="1" applyFont="1" applyBorder="1" applyAlignment="1">
      <alignment vertical="center"/>
    </xf>
    <xf numFmtId="41" fontId="4" fillId="0" borderId="8" xfId="0" applyNumberFormat="1" applyFont="1" applyBorder="1" applyAlignment="1">
      <alignment vertical="center"/>
    </xf>
    <xf numFmtId="41" fontId="12" fillId="0" borderId="9" xfId="0" applyNumberFormat="1" applyFont="1" applyFill="1" applyBorder="1" applyAlignment="1">
      <alignment vertical="center"/>
    </xf>
    <xf numFmtId="41" fontId="4" fillId="0" borderId="5" xfId="0" applyNumberFormat="1" applyFont="1" applyBorder="1" applyAlignment="1">
      <alignment vertical="center"/>
    </xf>
    <xf numFmtId="41" fontId="0" fillId="0" borderId="5" xfId="0" applyNumberFormat="1" applyFill="1" applyBorder="1" applyAlignment="1">
      <alignment vertical="center"/>
    </xf>
    <xf numFmtId="41" fontId="4" fillId="0" borderId="0" xfId="0" applyNumberFormat="1" applyFont="1" applyFill="1" applyBorder="1" applyAlignment="1">
      <alignment vertical="center"/>
    </xf>
    <xf numFmtId="0" fontId="0" fillId="0" borderId="0" xfId="0" applyBorder="1" applyAlignment="1">
      <alignment vertical="center"/>
    </xf>
    <xf numFmtId="0" fontId="4" fillId="0" borderId="0" xfId="0" applyFont="1" applyBorder="1" applyAlignment="1">
      <alignment vertical="center"/>
    </xf>
    <xf numFmtId="167" fontId="4" fillId="0" borderId="0" xfId="6" applyNumberFormat="1" applyFont="1" applyBorder="1" applyAlignment="1">
      <alignment vertical="center"/>
    </xf>
    <xf numFmtId="0" fontId="4" fillId="0" borderId="0" xfId="0" applyFont="1" applyFill="1" applyBorder="1" applyAlignment="1">
      <alignment vertical="center"/>
    </xf>
    <xf numFmtId="41" fontId="3" fillId="0" borderId="0" xfId="0" applyNumberFormat="1" applyFont="1" applyBorder="1" applyAlignment="1">
      <alignment horizontal="center" vertical="center"/>
    </xf>
    <xf numFmtId="41" fontId="5" fillId="0" borderId="0" xfId="0" applyNumberFormat="1" applyFont="1" applyBorder="1" applyAlignment="1">
      <alignment horizontal="center" vertical="center"/>
    </xf>
    <xf numFmtId="41" fontId="0" fillId="0" borderId="10" xfId="0" applyNumberFormat="1" applyBorder="1" applyAlignment="1">
      <alignment vertical="center"/>
    </xf>
    <xf numFmtId="41" fontId="0" fillId="0" borderId="11" xfId="0" applyNumberFormat="1" applyBorder="1" applyAlignment="1">
      <alignment vertical="center"/>
    </xf>
    <xf numFmtId="41" fontId="5" fillId="0" borderId="0" xfId="0" applyNumberFormat="1" applyFont="1" applyBorder="1" applyAlignment="1">
      <alignment horizontal="centerContinuous" vertical="center"/>
    </xf>
    <xf numFmtId="0" fontId="0" fillId="0" borderId="3" xfId="0" applyBorder="1"/>
    <xf numFmtId="44" fontId="0" fillId="0" borderId="8" xfId="0" applyNumberFormat="1" applyBorder="1" applyAlignment="1">
      <alignment vertical="center"/>
    </xf>
    <xf numFmtId="165" fontId="0" fillId="0" borderId="3" xfId="0" applyNumberFormat="1" applyFill="1" applyBorder="1" applyAlignment="1">
      <alignment vertical="center"/>
    </xf>
    <xf numFmtId="41" fontId="7" fillId="0" borderId="0" xfId="0" applyNumberFormat="1" applyFont="1" applyFill="1" applyAlignment="1">
      <alignment vertical="center"/>
    </xf>
    <xf numFmtId="42" fontId="0" fillId="0" borderId="5" xfId="0" applyNumberFormat="1" applyBorder="1" applyAlignment="1">
      <alignment vertical="center"/>
    </xf>
    <xf numFmtId="37" fontId="4" fillId="0" borderId="5" xfId="0" applyNumberFormat="1" applyFont="1" applyBorder="1" applyAlignment="1">
      <alignment vertical="center"/>
    </xf>
    <xf numFmtId="165" fontId="5" fillId="0" borderId="0" xfId="0" applyNumberFormat="1" applyFont="1" applyFill="1" applyAlignment="1">
      <alignment horizontal="centerContinuous" vertical="center"/>
    </xf>
    <xf numFmtId="0" fontId="5" fillId="0" borderId="0" xfId="0" applyNumberFormat="1" applyFont="1" applyFill="1" applyAlignment="1">
      <alignment horizontal="center" vertical="center"/>
    </xf>
    <xf numFmtId="165" fontId="0" fillId="0" borderId="0" xfId="0" applyNumberFormat="1" applyFill="1" applyAlignment="1">
      <alignment vertical="center"/>
    </xf>
    <xf numFmtId="165" fontId="0" fillId="0" borderId="0" xfId="0" applyNumberFormat="1" applyAlignment="1">
      <alignment vertical="center"/>
    </xf>
    <xf numFmtId="9" fontId="0" fillId="0" borderId="0" xfId="6" applyFont="1" applyFill="1" applyAlignment="1">
      <alignment vertical="center"/>
    </xf>
    <xf numFmtId="174" fontId="5" fillId="0" borderId="0" xfId="0" applyNumberFormat="1" applyFont="1" applyFill="1" applyAlignment="1">
      <alignment horizontal="center" vertical="center"/>
    </xf>
    <xf numFmtId="9" fontId="0" fillId="0" borderId="3" xfId="6" applyFont="1" applyFill="1" applyBorder="1" applyAlignment="1">
      <alignment vertical="center"/>
    </xf>
    <xf numFmtId="9" fontId="0" fillId="0" borderId="9" xfId="6" applyFont="1" applyFill="1" applyBorder="1" applyAlignment="1">
      <alignment vertical="center"/>
    </xf>
    <xf numFmtId="170" fontId="0" fillId="0" borderId="0" xfId="0" applyNumberFormat="1" applyBorder="1" applyAlignment="1">
      <alignment vertical="center"/>
    </xf>
    <xf numFmtId="41" fontId="4" fillId="0" borderId="7" xfId="0" applyNumberFormat="1" applyFont="1" applyFill="1" applyBorder="1" applyAlignment="1">
      <alignment vertical="center"/>
    </xf>
    <xf numFmtId="9" fontId="0" fillId="0" borderId="5" xfId="6" applyFont="1" applyFill="1" applyBorder="1" applyAlignment="1">
      <alignment vertical="center"/>
    </xf>
    <xf numFmtId="0" fontId="0" fillId="0" borderId="3" xfId="0" applyBorder="1" applyAlignment="1">
      <alignment vertical="center"/>
    </xf>
    <xf numFmtId="1" fontId="5" fillId="0" borderId="0" xfId="6" quotePrefix="1" applyNumberFormat="1" applyFont="1" applyFill="1" applyAlignment="1">
      <alignment horizontal="center" vertical="center"/>
    </xf>
    <xf numFmtId="9" fontId="4" fillId="0" borderId="3" xfId="6" applyFont="1" applyFill="1" applyBorder="1" applyAlignment="1">
      <alignment vertical="center"/>
    </xf>
    <xf numFmtId="41" fontId="4" fillId="0" borderId="9" xfId="0" applyNumberFormat="1" applyFont="1" applyFill="1" applyBorder="1" applyAlignment="1">
      <alignment vertical="center"/>
    </xf>
    <xf numFmtId="9" fontId="4" fillId="0" borderId="8" xfId="6" applyFont="1" applyFill="1" applyBorder="1" applyAlignment="1">
      <alignment vertical="center"/>
    </xf>
    <xf numFmtId="41" fontId="4" fillId="0" borderId="6" xfId="0" applyNumberFormat="1" applyFont="1" applyFill="1" applyBorder="1" applyAlignment="1">
      <alignment vertical="center"/>
    </xf>
    <xf numFmtId="9" fontId="4" fillId="0" borderId="6" xfId="6" applyFont="1" applyFill="1" applyBorder="1" applyAlignment="1">
      <alignment vertical="center"/>
    </xf>
    <xf numFmtId="41" fontId="4" fillId="0" borderId="5" xfId="0" applyNumberFormat="1" applyFont="1" applyFill="1" applyBorder="1" applyAlignment="1">
      <alignment vertical="center"/>
    </xf>
    <xf numFmtId="41" fontId="4" fillId="0" borderId="11" xfId="0" applyNumberFormat="1" applyFont="1" applyFill="1" applyBorder="1" applyAlignment="1">
      <alignment vertical="center"/>
    </xf>
    <xf numFmtId="9" fontId="0" fillId="0" borderId="11" xfId="6" applyFont="1" applyFill="1" applyBorder="1" applyAlignment="1">
      <alignment vertical="center"/>
    </xf>
    <xf numFmtId="41" fontId="7" fillId="0" borderId="3" xfId="0" applyNumberFormat="1" applyFont="1" applyFill="1" applyBorder="1" applyAlignment="1">
      <alignment vertical="center"/>
    </xf>
    <xf numFmtId="165" fontId="4" fillId="0" borderId="7" xfId="0" applyNumberFormat="1" applyFont="1" applyFill="1" applyBorder="1" applyAlignment="1">
      <alignment vertical="center"/>
    </xf>
    <xf numFmtId="165" fontId="7" fillId="0" borderId="3" xfId="0" applyNumberFormat="1" applyFont="1" applyFill="1" applyBorder="1" applyAlignment="1">
      <alignment vertical="center"/>
    </xf>
    <xf numFmtId="41" fontId="4" fillId="0" borderId="4" xfId="0" applyNumberFormat="1" applyFont="1" applyFill="1" applyBorder="1" applyAlignment="1">
      <alignment vertical="center"/>
    </xf>
    <xf numFmtId="41" fontId="54" fillId="0" borderId="0" xfId="0" applyNumberFormat="1" applyFont="1" applyBorder="1" applyAlignment="1">
      <alignment vertical="center"/>
    </xf>
    <xf numFmtId="41" fontId="5" fillId="0" borderId="0" xfId="0" applyNumberFormat="1" applyFont="1" applyFill="1" applyBorder="1" applyAlignment="1">
      <alignment horizontal="center" vertical="center"/>
    </xf>
    <xf numFmtId="41" fontId="10" fillId="0" borderId="3" xfId="0" applyNumberFormat="1" applyFont="1" applyFill="1" applyBorder="1" applyAlignment="1">
      <alignment vertical="center"/>
    </xf>
    <xf numFmtId="165" fontId="10" fillId="0" borderId="3" xfId="0" applyNumberFormat="1" applyFont="1" applyFill="1" applyBorder="1" applyAlignment="1">
      <alignment vertical="center"/>
    </xf>
    <xf numFmtId="41" fontId="54" fillId="2" borderId="3" xfId="0" applyNumberFormat="1" applyFont="1" applyFill="1" applyBorder="1" applyAlignment="1">
      <alignment vertical="center"/>
    </xf>
    <xf numFmtId="41" fontId="54" fillId="0" borderId="3" xfId="0" applyNumberFormat="1" applyFont="1" applyBorder="1" applyAlignment="1">
      <alignment vertical="center"/>
    </xf>
    <xf numFmtId="41" fontId="54" fillId="0" borderId="5" xfId="0" applyNumberFormat="1" applyFont="1" applyBorder="1" applyAlignment="1">
      <alignment vertical="center"/>
    </xf>
    <xf numFmtId="41" fontId="4" fillId="0" borderId="11" xfId="0" applyNumberFormat="1" applyFont="1" applyBorder="1" applyAlignment="1">
      <alignment vertical="center"/>
    </xf>
    <xf numFmtId="41" fontId="10" fillId="0" borderId="3" xfId="0" applyNumberFormat="1" applyFont="1" applyFill="1" applyBorder="1" applyAlignment="1">
      <alignment horizontal="right" vertical="center"/>
    </xf>
    <xf numFmtId="41" fontId="19" fillId="0" borderId="5" xfId="0" applyNumberFormat="1" applyFont="1" applyFill="1" applyBorder="1" applyAlignment="1">
      <alignment vertical="center"/>
    </xf>
    <xf numFmtId="41" fontId="4" fillId="0" borderId="3" xfId="0" applyNumberFormat="1" applyFont="1" applyFill="1" applyBorder="1" applyAlignment="1">
      <alignment horizontal="right" vertical="center"/>
    </xf>
    <xf numFmtId="41" fontId="4" fillId="0" borderId="3" xfId="0" applyNumberFormat="1" applyFont="1" applyFill="1" applyBorder="1" applyAlignment="1">
      <alignment horizontal="center" vertical="center"/>
    </xf>
    <xf numFmtId="167" fontId="10" fillId="0" borderId="3" xfId="6" applyNumberFormat="1" applyFont="1" applyFill="1" applyBorder="1" applyAlignment="1">
      <alignment vertical="center"/>
    </xf>
    <xf numFmtId="167" fontId="10" fillId="0" borderId="3" xfId="6" quotePrefix="1" applyNumberFormat="1" applyFont="1" applyFill="1" applyBorder="1" applyAlignment="1">
      <alignment vertical="center"/>
    </xf>
    <xf numFmtId="41" fontId="54" fillId="0" borderId="3" xfId="0" applyNumberFormat="1" applyFont="1" applyFill="1" applyBorder="1" applyAlignment="1">
      <alignment vertical="center"/>
    </xf>
    <xf numFmtId="165" fontId="10" fillId="0" borderId="3" xfId="0" applyNumberFormat="1" applyFont="1" applyFill="1" applyBorder="1" applyAlignment="1">
      <alignment horizontal="right" vertical="center"/>
    </xf>
    <xf numFmtId="44" fontId="4" fillId="0" borderId="3" xfId="3" applyFont="1" applyFill="1" applyBorder="1" applyAlignment="1">
      <alignment vertical="center"/>
    </xf>
    <xf numFmtId="41" fontId="21" fillId="0" borderId="3" xfId="0" applyNumberFormat="1" applyFont="1" applyBorder="1" applyAlignment="1">
      <alignment vertical="center"/>
    </xf>
    <xf numFmtId="41" fontId="10" fillId="0" borderId="5" xfId="0" applyNumberFormat="1" applyFont="1" applyFill="1" applyBorder="1" applyAlignment="1">
      <alignment horizontal="right" vertical="center"/>
    </xf>
    <xf numFmtId="41" fontId="10" fillId="0" borderId="5" xfId="0" applyNumberFormat="1" applyFont="1" applyFill="1" applyBorder="1" applyAlignment="1">
      <alignment vertical="center"/>
    </xf>
    <xf numFmtId="167" fontId="10" fillId="0" borderId="5" xfId="6" applyNumberFormat="1" applyFont="1" applyFill="1" applyBorder="1" applyAlignment="1">
      <alignment vertical="center"/>
    </xf>
    <xf numFmtId="174" fontId="5" fillId="0" borderId="0" xfId="0" applyNumberFormat="1" applyFont="1" applyFill="1" applyBorder="1" applyAlignment="1">
      <alignment horizontal="center"/>
    </xf>
    <xf numFmtId="37" fontId="4" fillId="0" borderId="3" xfId="0" applyNumberFormat="1" applyFont="1" applyFill="1" applyBorder="1" applyAlignment="1">
      <alignment vertical="center"/>
    </xf>
    <xf numFmtId="41" fontId="4" fillId="0" borderId="8" xfId="0" applyNumberFormat="1" applyFont="1" applyFill="1" applyBorder="1" applyAlignment="1">
      <alignment vertical="center"/>
    </xf>
    <xf numFmtId="41" fontId="4" fillId="2" borderId="0" xfId="0" applyNumberFormat="1" applyFont="1" applyFill="1" applyBorder="1" applyAlignment="1">
      <alignment vertical="center"/>
    </xf>
    <xf numFmtId="0" fontId="4" fillId="2" borderId="0" xfId="0" applyFont="1" applyFill="1" applyBorder="1" applyAlignment="1">
      <alignment vertical="center"/>
    </xf>
    <xf numFmtId="167" fontId="4" fillId="2" borderId="0" xfId="0" applyNumberFormat="1" applyFont="1" applyFill="1" applyBorder="1" applyAlignment="1">
      <alignment vertical="center"/>
    </xf>
    <xf numFmtId="167" fontId="4" fillId="2" borderId="0" xfId="6" applyNumberFormat="1" applyFont="1" applyFill="1" applyBorder="1" applyAlignment="1">
      <alignment vertical="center"/>
    </xf>
    <xf numFmtId="164" fontId="4" fillId="0" borderId="3" xfId="0" applyNumberFormat="1" applyFont="1" applyBorder="1" applyAlignment="1">
      <alignment vertical="center"/>
    </xf>
    <xf numFmtId="164" fontId="4" fillId="0" borderId="7" xfId="0" applyNumberFormat="1" applyFont="1" applyBorder="1" applyAlignment="1">
      <alignment vertical="center"/>
    </xf>
    <xf numFmtId="37" fontId="4" fillId="0" borderId="3" xfId="0" applyNumberFormat="1" applyFont="1" applyBorder="1" applyAlignment="1">
      <alignment vertical="center"/>
    </xf>
    <xf numFmtId="37" fontId="4" fillId="0" borderId="9" xfId="0" applyNumberFormat="1" applyFont="1" applyBorder="1" applyAlignment="1">
      <alignment vertical="center"/>
    </xf>
    <xf numFmtId="41" fontId="5" fillId="0" borderId="0" xfId="0" quotePrefix="1" applyNumberFormat="1" applyFont="1" applyBorder="1" applyAlignment="1">
      <alignment horizontal="center" vertical="center"/>
    </xf>
    <xf numFmtId="41" fontId="4" fillId="0" borderId="6" xfId="0" applyNumberFormat="1" applyFont="1" applyBorder="1" applyAlignment="1">
      <alignment vertical="center"/>
    </xf>
    <xf numFmtId="41" fontId="30" fillId="0" borderId="3" xfId="0" applyNumberFormat="1" applyFont="1" applyBorder="1" applyAlignment="1">
      <alignment vertical="center"/>
    </xf>
    <xf numFmtId="41" fontId="10" fillId="0" borderId="7" xfId="0" applyNumberFormat="1" applyFont="1" applyBorder="1" applyAlignment="1">
      <alignment vertical="center"/>
    </xf>
    <xf numFmtId="43" fontId="0" fillId="0" borderId="3" xfId="0" applyNumberFormat="1" applyBorder="1" applyAlignment="1">
      <alignment vertical="center"/>
    </xf>
    <xf numFmtId="169" fontId="0" fillId="0" borderId="3" xfId="0" applyNumberFormat="1" applyBorder="1" applyAlignment="1">
      <alignment vertical="center"/>
    </xf>
    <xf numFmtId="42" fontId="4" fillId="0" borderId="3" xfId="0" applyNumberFormat="1" applyFont="1" applyBorder="1" applyAlignment="1">
      <alignment vertical="center"/>
    </xf>
    <xf numFmtId="37" fontId="4" fillId="0" borderId="11" xfId="0" applyNumberFormat="1" applyFont="1" applyBorder="1" applyAlignment="1">
      <alignment vertical="center"/>
    </xf>
    <xf numFmtId="41" fontId="4" fillId="2" borderId="9" xfId="0" applyNumberFormat="1" applyFont="1" applyFill="1" applyBorder="1" applyAlignment="1">
      <alignment vertical="center"/>
    </xf>
    <xf numFmtId="41" fontId="31" fillId="2" borderId="9" xfId="0" applyNumberFormat="1" applyFont="1" applyFill="1" applyBorder="1" applyAlignment="1">
      <alignment horizontal="right" vertical="center"/>
    </xf>
    <xf numFmtId="41" fontId="4" fillId="2" borderId="11" xfId="0" applyNumberFormat="1" applyFont="1" applyFill="1" applyBorder="1" applyAlignment="1">
      <alignment vertical="center"/>
    </xf>
    <xf numFmtId="41" fontId="31" fillId="2" borderId="11" xfId="0" applyNumberFormat="1" applyFont="1" applyFill="1" applyBorder="1" applyAlignment="1">
      <alignment horizontal="right" vertical="center"/>
    </xf>
    <xf numFmtId="41" fontId="4" fillId="2" borderId="5" xfId="0" applyNumberFormat="1" applyFont="1" applyFill="1" applyBorder="1" applyAlignment="1">
      <alignment vertical="center"/>
    </xf>
    <xf numFmtId="41" fontId="31" fillId="2" borderId="5" xfId="0" applyNumberFormat="1" applyFont="1" applyFill="1" applyBorder="1" applyAlignment="1">
      <alignment horizontal="right" vertical="center"/>
    </xf>
    <xf numFmtId="41" fontId="4" fillId="2" borderId="8" xfId="0" applyNumberFormat="1" applyFont="1" applyFill="1" applyBorder="1" applyAlignment="1">
      <alignment vertical="center"/>
    </xf>
    <xf numFmtId="41" fontId="31" fillId="2" borderId="8" xfId="0" applyNumberFormat="1" applyFont="1" applyFill="1" applyBorder="1" applyAlignment="1">
      <alignment horizontal="right" vertical="center"/>
    </xf>
    <xf numFmtId="37" fontId="4" fillId="0" borderId="7" xfId="0" applyNumberFormat="1" applyFont="1" applyBorder="1" applyAlignment="1">
      <alignment vertical="center"/>
    </xf>
    <xf numFmtId="3" fontId="6" fillId="0" borderId="0" xfId="0" applyNumberFormat="1" applyFont="1" applyBorder="1" applyAlignment="1">
      <alignment vertical="center"/>
    </xf>
    <xf numFmtId="3" fontId="14" fillId="0" borderId="0" xfId="0" applyNumberFormat="1" applyFont="1" applyBorder="1" applyAlignment="1">
      <alignment horizontal="centerContinuous" vertical="center"/>
    </xf>
    <xf numFmtId="3" fontId="5" fillId="0" borderId="0" xfId="0" applyNumberFormat="1" applyFont="1" applyBorder="1" applyAlignment="1">
      <alignment horizontal="centerContinuous" vertical="center"/>
    </xf>
    <xf numFmtId="3" fontId="34" fillId="0" borderId="0" xfId="0" applyNumberFormat="1" applyFont="1" applyBorder="1" applyAlignment="1">
      <alignment horizontal="centerContinuous" vertical="center"/>
    </xf>
    <xf numFmtId="3" fontId="3" fillId="0" borderId="0" xfId="0" applyNumberFormat="1" applyFont="1" applyBorder="1" applyAlignment="1">
      <alignment horizontal="centerContinuous" vertical="center"/>
    </xf>
    <xf numFmtId="3" fontId="3" fillId="0" borderId="0" xfId="0" applyNumberFormat="1" applyFont="1" applyBorder="1" applyAlignment="1">
      <alignment vertical="center"/>
    </xf>
    <xf numFmtId="3" fontId="35" fillId="0" borderId="0" xfId="0" applyNumberFormat="1" applyFont="1" applyBorder="1" applyAlignment="1">
      <alignment horizontal="center" vertical="center"/>
    </xf>
    <xf numFmtId="3" fontId="4" fillId="0" borderId="3" xfId="0" applyNumberFormat="1" applyFont="1" applyBorder="1" applyAlignment="1">
      <alignment vertical="center"/>
    </xf>
    <xf numFmtId="167" fontId="4" fillId="0" borderId="3" xfId="0" applyNumberFormat="1" applyFont="1" applyBorder="1" applyAlignment="1">
      <alignment horizontal="center" vertical="center"/>
    </xf>
    <xf numFmtId="167" fontId="11" fillId="0" borderId="3" xfId="6" applyNumberFormat="1" applyFont="1" applyFill="1" applyBorder="1" applyAlignment="1">
      <alignment vertical="center"/>
    </xf>
    <xf numFmtId="167" fontId="4" fillId="0" borderId="3" xfId="0" applyNumberFormat="1" applyFont="1" applyBorder="1" applyAlignment="1">
      <alignment vertical="center"/>
    </xf>
    <xf numFmtId="167" fontId="11" fillId="0" borderId="3" xfId="6" applyNumberFormat="1" applyFont="1" applyBorder="1" applyAlignment="1">
      <alignment vertical="center"/>
    </xf>
    <xf numFmtId="43" fontId="4" fillId="0" borderId="3" xfId="0" applyNumberFormat="1" applyFont="1" applyBorder="1" applyAlignment="1">
      <alignment horizontal="center" vertical="center"/>
    </xf>
    <xf numFmtId="43" fontId="11" fillId="0" borderId="3" xfId="0" applyNumberFormat="1" applyFont="1" applyFill="1" applyBorder="1" applyAlignment="1">
      <alignment vertical="center"/>
    </xf>
    <xf numFmtId="43" fontId="54" fillId="0" borderId="3" xfId="0" applyNumberFormat="1" applyFont="1" applyFill="1" applyBorder="1" applyAlignment="1">
      <alignment vertical="center"/>
    </xf>
    <xf numFmtId="43" fontId="4" fillId="0" borderId="3" xfId="0" applyNumberFormat="1" applyFont="1" applyBorder="1" applyAlignment="1">
      <alignment vertical="center"/>
    </xf>
    <xf numFmtId="41" fontId="11" fillId="0" borderId="3" xfId="0" applyNumberFormat="1" applyFont="1" applyBorder="1" applyAlignment="1">
      <alignment vertical="center"/>
    </xf>
    <xf numFmtId="3" fontId="4" fillId="0" borderId="5" xfId="0" applyNumberFormat="1" applyFont="1" applyBorder="1" applyAlignment="1">
      <alignment vertical="center"/>
    </xf>
    <xf numFmtId="41" fontId="54" fillId="0" borderId="5" xfId="0" applyNumberFormat="1" applyFont="1" applyFill="1" applyBorder="1" applyAlignment="1">
      <alignment vertical="center"/>
    </xf>
    <xf numFmtId="3" fontId="4" fillId="0" borderId="11" xfId="0" applyNumberFormat="1" applyFont="1" applyBorder="1" applyAlignment="1">
      <alignment vertical="center"/>
    </xf>
    <xf numFmtId="41" fontId="11" fillId="0" borderId="11" xfId="0" applyNumberFormat="1" applyFont="1" applyBorder="1" applyAlignment="1">
      <alignment vertical="center"/>
    </xf>
    <xf numFmtId="3" fontId="3" fillId="0" borderId="7" xfId="0" applyNumberFormat="1" applyFont="1" applyBorder="1" applyAlignment="1">
      <alignment vertical="center"/>
    </xf>
    <xf numFmtId="41" fontId="55" fillId="0" borderId="7" xfId="0" applyNumberFormat="1" applyFont="1" applyFill="1" applyBorder="1" applyAlignment="1">
      <alignment vertical="center"/>
    </xf>
    <xf numFmtId="3" fontId="4" fillId="0" borderId="7" xfId="0" applyNumberFormat="1" applyFont="1" applyFill="1" applyBorder="1" applyAlignment="1">
      <alignment vertical="center"/>
    </xf>
    <xf numFmtId="41" fontId="11" fillId="0" borderId="7" xfId="0" applyNumberFormat="1" applyFont="1" applyBorder="1" applyAlignment="1">
      <alignment vertical="center"/>
    </xf>
    <xf numFmtId="3" fontId="4" fillId="0" borderId="9" xfId="0" applyNumberFormat="1" applyFont="1" applyFill="1" applyBorder="1" applyAlignment="1">
      <alignment vertical="center"/>
    </xf>
    <xf numFmtId="41" fontId="11" fillId="0" borderId="9" xfId="0" applyNumberFormat="1" applyFont="1" applyFill="1" applyBorder="1" applyAlignment="1">
      <alignment vertical="center"/>
    </xf>
    <xf numFmtId="41" fontId="11" fillId="0" borderId="7" xfId="0" applyNumberFormat="1" applyFont="1" applyFill="1" applyBorder="1" applyAlignment="1">
      <alignment vertical="center"/>
    </xf>
    <xf numFmtId="3" fontId="7" fillId="0" borderId="0" xfId="0" applyNumberFormat="1" applyFont="1" applyFill="1" applyBorder="1" applyAlignment="1">
      <alignment vertical="center"/>
    </xf>
    <xf numFmtId="167" fontId="4" fillId="0" borderId="0" xfId="0" applyNumberFormat="1" applyFont="1" applyFill="1" applyBorder="1" applyAlignment="1">
      <alignment horizontal="center" vertical="center"/>
    </xf>
    <xf numFmtId="167" fontId="7" fillId="0" borderId="0" xfId="0" applyNumberFormat="1" applyFont="1" applyFill="1" applyBorder="1" applyAlignment="1">
      <alignment vertical="center"/>
    </xf>
    <xf numFmtId="3" fontId="4" fillId="0" borderId="9" xfId="0" applyNumberFormat="1" applyFont="1" applyBorder="1" applyAlignment="1">
      <alignment vertical="center"/>
    </xf>
    <xf numFmtId="167" fontId="4" fillId="0" borderId="9" xfId="0" applyNumberFormat="1" applyFont="1" applyBorder="1" applyAlignment="1">
      <alignment vertical="center"/>
    </xf>
    <xf numFmtId="3" fontId="4" fillId="0" borderId="6" xfId="0" applyNumberFormat="1" applyFont="1" applyBorder="1" applyAlignment="1">
      <alignment vertical="center"/>
    </xf>
    <xf numFmtId="41" fontId="54" fillId="0" borderId="6" xfId="0" applyNumberFormat="1" applyFont="1" applyBorder="1" applyAlignment="1">
      <alignment vertical="center"/>
    </xf>
    <xf numFmtId="41" fontId="54" fillId="0" borderId="6" xfId="0" applyNumberFormat="1" applyFont="1" applyFill="1" applyBorder="1" applyAlignment="1">
      <alignment vertical="center"/>
    </xf>
    <xf numFmtId="3" fontId="4" fillId="0" borderId="7" xfId="0" applyNumberFormat="1" applyFont="1" applyBorder="1" applyAlignment="1">
      <alignment vertical="center"/>
    </xf>
    <xf numFmtId="177" fontId="0" fillId="0" borderId="3" xfId="0" applyNumberFormat="1" applyFill="1" applyBorder="1" applyAlignment="1">
      <alignment vertical="center"/>
    </xf>
    <xf numFmtId="3" fontId="4" fillId="0" borderId="8" xfId="0" applyNumberFormat="1" applyFont="1" applyBorder="1" applyAlignment="1">
      <alignment vertical="center"/>
    </xf>
    <xf numFmtId="3" fontId="4" fillId="0" borderId="3" xfId="0" applyNumberFormat="1" applyFont="1" applyFill="1" applyBorder="1" applyAlignment="1">
      <alignment vertical="center"/>
    </xf>
    <xf numFmtId="41" fontId="11" fillId="0" borderId="3" xfId="0" applyNumberFormat="1" applyFont="1" applyFill="1" applyBorder="1" applyAlignment="1">
      <alignment vertical="center"/>
    </xf>
    <xf numFmtId="41" fontId="11" fillId="0" borderId="5" xfId="0" applyNumberFormat="1" applyFont="1" applyFill="1" applyBorder="1" applyAlignment="1">
      <alignment vertical="center"/>
    </xf>
    <xf numFmtId="3" fontId="0" fillId="0" borderId="3" xfId="0" applyNumberFormat="1" applyBorder="1" applyAlignment="1">
      <alignment vertical="center"/>
    </xf>
    <xf numFmtId="167" fontId="4" fillId="0" borderId="3" xfId="6" applyNumberFormat="1" applyFont="1" applyFill="1" applyBorder="1" applyAlignment="1">
      <alignment vertical="center"/>
    </xf>
    <xf numFmtId="164" fontId="3" fillId="0" borderId="0" xfId="6" applyNumberFormat="1" applyFont="1" applyBorder="1" applyAlignment="1">
      <alignment horizontal="center" vertical="center"/>
    </xf>
    <xf numFmtId="176" fontId="0" fillId="0" borderId="0" xfId="0" applyNumberFormat="1" applyBorder="1" applyAlignment="1">
      <alignment vertical="center"/>
    </xf>
    <xf numFmtId="41" fontId="4" fillId="0" borderId="0" xfId="6" applyNumberFormat="1" applyFont="1" applyBorder="1" applyAlignment="1">
      <alignment vertical="center"/>
    </xf>
    <xf numFmtId="178" fontId="7" fillId="0" borderId="0" xfId="0" applyNumberFormat="1" applyFont="1" applyFill="1" applyBorder="1" applyAlignment="1">
      <alignment vertical="center"/>
    </xf>
    <xf numFmtId="9" fontId="7" fillId="0" borderId="0" xfId="6" applyFont="1" applyFill="1" applyBorder="1" applyAlignment="1">
      <alignment vertical="center"/>
    </xf>
    <xf numFmtId="41" fontId="7" fillId="0" borderId="3" xfId="0" applyNumberFormat="1" applyFont="1" applyBorder="1" applyAlignment="1">
      <alignment vertical="center"/>
    </xf>
    <xf numFmtId="42" fontId="4" fillId="0" borderId="7" xfId="0" applyNumberFormat="1" applyFont="1" applyBorder="1" applyAlignment="1">
      <alignment vertical="center"/>
    </xf>
    <xf numFmtId="42" fontId="4" fillId="0" borderId="5" xfId="0" applyNumberFormat="1" applyFont="1" applyBorder="1" applyAlignment="1">
      <alignment vertical="center"/>
    </xf>
    <xf numFmtId="42" fontId="4" fillId="0" borderId="7" xfId="0" applyNumberFormat="1" applyFont="1" applyFill="1" applyBorder="1" applyAlignment="1">
      <alignment vertical="center"/>
    </xf>
    <xf numFmtId="37" fontId="4" fillId="0" borderId="0" xfId="0" applyNumberFormat="1" applyFont="1" applyBorder="1" applyAlignment="1">
      <alignment vertical="center"/>
    </xf>
    <xf numFmtId="0" fontId="4" fillId="0" borderId="1" xfId="0" applyFont="1" applyBorder="1" applyAlignment="1">
      <alignment vertical="center" wrapText="1"/>
    </xf>
    <xf numFmtId="42" fontId="0" fillId="0" borderId="1" xfId="0" applyNumberFormat="1" applyBorder="1" applyAlignment="1">
      <alignment vertical="center"/>
    </xf>
    <xf numFmtId="164" fontId="0" fillId="0" borderId="1" xfId="0" applyNumberFormat="1" applyBorder="1" applyAlignment="1">
      <alignment vertical="center"/>
    </xf>
    <xf numFmtId="44" fontId="0" fillId="0" borderId="1" xfId="0" applyNumberFormat="1" applyBorder="1" applyAlignment="1">
      <alignment vertical="center"/>
    </xf>
    <xf numFmtId="0" fontId="4" fillId="0" borderId="1" xfId="0" applyFont="1" applyBorder="1" applyAlignment="1">
      <alignment horizontal="center" vertical="center" wrapText="1"/>
    </xf>
    <xf numFmtId="171" fontId="4" fillId="0" borderId="1" xfId="0" applyNumberFormat="1" applyFont="1" applyBorder="1" applyAlignment="1">
      <alignment horizontal="center" vertical="center" wrapText="1"/>
    </xf>
    <xf numFmtId="42" fontId="4" fillId="0" borderId="1" xfId="0" applyNumberFormat="1" applyFont="1" applyFill="1" applyBorder="1" applyAlignment="1">
      <alignment vertical="center"/>
    </xf>
    <xf numFmtId="164" fontId="4" fillId="0" borderId="1" xfId="0" applyNumberFormat="1" applyFont="1" applyFill="1" applyBorder="1" applyAlignment="1">
      <alignment vertical="center"/>
    </xf>
    <xf numFmtId="41" fontId="54" fillId="0" borderId="0" xfId="0" applyNumberFormat="1" applyFont="1" applyFill="1" applyBorder="1" applyAlignment="1">
      <alignment vertical="center"/>
    </xf>
    <xf numFmtId="41" fontId="54" fillId="0" borderId="9" xfId="0" applyNumberFormat="1" applyFont="1" applyBorder="1" applyAlignment="1">
      <alignment vertical="center"/>
    </xf>
    <xf numFmtId="41" fontId="54" fillId="0" borderId="7" xfId="0" applyNumberFormat="1" applyFont="1" applyBorder="1" applyAlignment="1">
      <alignment vertical="center"/>
    </xf>
    <xf numFmtId="41" fontId="54" fillId="0" borderId="11" xfId="0" applyNumberFormat="1" applyFont="1" applyBorder="1" applyAlignment="1">
      <alignment vertical="center"/>
    </xf>
    <xf numFmtId="41" fontId="59" fillId="0" borderId="0" xfId="0" applyNumberFormat="1" applyFont="1" applyBorder="1" applyAlignment="1">
      <alignment vertical="center"/>
    </xf>
    <xf numFmtId="41" fontId="54" fillId="0" borderId="8" xfId="0" applyNumberFormat="1" applyFont="1" applyBorder="1" applyAlignment="1">
      <alignment vertical="center"/>
    </xf>
    <xf numFmtId="41" fontId="54" fillId="0" borderId="0" xfId="0" applyNumberFormat="1" applyFont="1" applyFill="1" applyAlignment="1">
      <alignment vertical="center"/>
    </xf>
    <xf numFmtId="41" fontId="54" fillId="0" borderId="0" xfId="0" applyNumberFormat="1" applyFont="1" applyAlignment="1">
      <alignment vertical="center"/>
    </xf>
    <xf numFmtId="41" fontId="54" fillId="0" borderId="0" xfId="0" applyNumberFormat="1" applyFont="1" applyBorder="1" applyAlignment="1">
      <alignment horizontal="left" vertical="center"/>
    </xf>
    <xf numFmtId="41" fontId="54" fillId="0" borderId="0" xfId="0" applyNumberFormat="1" applyFont="1" applyFill="1" applyBorder="1" applyAlignment="1">
      <alignment horizontal="centerContinuous" vertical="center"/>
    </xf>
    <xf numFmtId="41" fontId="57" fillId="0" borderId="0" xfId="0" applyNumberFormat="1" applyFont="1" applyBorder="1" applyAlignment="1">
      <alignment horizontal="centerContinuous" vertical="center"/>
    </xf>
    <xf numFmtId="41" fontId="57" fillId="0" borderId="0" xfId="0" applyNumberFormat="1" applyFont="1" applyBorder="1" applyAlignment="1">
      <alignment vertical="center"/>
    </xf>
    <xf numFmtId="37" fontId="10" fillId="0" borderId="0" xfId="0" applyNumberFormat="1" applyFont="1" applyFill="1" applyBorder="1" applyAlignment="1">
      <alignment vertical="center"/>
    </xf>
    <xf numFmtId="37" fontId="4" fillId="0" borderId="8" xfId="0" applyNumberFormat="1" applyFont="1" applyFill="1" applyBorder="1" applyAlignment="1">
      <alignment vertical="center"/>
    </xf>
    <xf numFmtId="41" fontId="59" fillId="0" borderId="0" xfId="0" applyNumberFormat="1" applyFont="1" applyFill="1" applyBorder="1" applyAlignment="1">
      <alignment vertical="center"/>
    </xf>
    <xf numFmtId="0" fontId="54" fillId="0" borderId="0" xfId="0" applyFont="1" applyFill="1" applyBorder="1" applyAlignment="1">
      <alignment vertical="center"/>
    </xf>
    <xf numFmtId="0" fontId="54" fillId="2" borderId="0" xfId="0" applyFont="1" applyFill="1" applyBorder="1" applyAlignment="1">
      <alignment vertical="center"/>
    </xf>
    <xf numFmtId="0" fontId="59" fillId="0" borderId="0" xfId="0" applyFont="1" applyFill="1" applyBorder="1" applyAlignment="1">
      <alignment vertical="center"/>
    </xf>
    <xf numFmtId="41" fontId="54" fillId="2" borderId="0" xfId="0" applyNumberFormat="1" applyFont="1" applyFill="1" applyBorder="1" applyAlignment="1">
      <alignment vertical="center"/>
    </xf>
    <xf numFmtId="41" fontId="54" fillId="2" borderId="0" xfId="0" applyNumberFormat="1" applyFont="1" applyFill="1" applyAlignment="1">
      <alignment vertical="center"/>
    </xf>
    <xf numFmtId="41" fontId="54" fillId="2" borderId="8" xfId="0" applyNumberFormat="1" applyFont="1" applyFill="1" applyBorder="1" applyAlignment="1">
      <alignment vertical="center"/>
    </xf>
    <xf numFmtId="0" fontId="54" fillId="0" borderId="3" xfId="0" applyFont="1" applyBorder="1"/>
    <xf numFmtId="165" fontId="54" fillId="0" borderId="0" xfId="0" applyNumberFormat="1" applyFont="1" applyFill="1" applyAlignment="1">
      <alignment vertical="center"/>
    </xf>
    <xf numFmtId="0" fontId="54" fillId="0" borderId="3" xfId="0" applyFont="1" applyBorder="1" applyAlignment="1">
      <alignment vertical="center"/>
    </xf>
    <xf numFmtId="0" fontId="0" fillId="0" borderId="5" xfId="0" applyBorder="1" applyAlignment="1">
      <alignment vertical="center"/>
    </xf>
    <xf numFmtId="165" fontId="54" fillId="0" borderId="0" xfId="0" applyNumberFormat="1" applyFont="1" applyAlignment="1">
      <alignment vertical="center"/>
    </xf>
    <xf numFmtId="0" fontId="54" fillId="0" borderId="0" xfId="0" applyFont="1" applyBorder="1" applyAlignment="1">
      <alignment vertical="center"/>
    </xf>
    <xf numFmtId="165" fontId="59" fillId="0" borderId="0" xfId="0" applyNumberFormat="1" applyFont="1" applyFill="1" applyBorder="1" applyAlignment="1">
      <alignment vertical="center"/>
    </xf>
    <xf numFmtId="41" fontId="54" fillId="0" borderId="12" xfId="0" applyNumberFormat="1" applyFont="1" applyFill="1" applyBorder="1" applyAlignment="1">
      <alignment vertical="center"/>
    </xf>
    <xf numFmtId="0" fontId="54" fillId="0" borderId="0" xfId="0" applyFont="1" applyAlignment="1">
      <alignment horizontal="center" vertical="center"/>
    </xf>
    <xf numFmtId="41" fontId="67" fillId="0" borderId="0" xfId="0" applyNumberFormat="1" applyFont="1" applyBorder="1" applyAlignment="1">
      <alignment horizontal="center" vertical="center"/>
    </xf>
    <xf numFmtId="0" fontId="0" fillId="0" borderId="3" xfId="0" applyFill="1" applyBorder="1" applyAlignment="1">
      <alignment vertical="center"/>
    </xf>
    <xf numFmtId="0" fontId="0" fillId="0" borderId="8" xfId="0" applyBorder="1" applyAlignment="1">
      <alignment vertical="center"/>
    </xf>
    <xf numFmtId="41" fontId="54" fillId="0" borderId="7" xfId="0" applyNumberFormat="1" applyFont="1" applyFill="1" applyBorder="1" applyAlignment="1">
      <alignment vertical="center"/>
    </xf>
    <xf numFmtId="41" fontId="54" fillId="0" borderId="9" xfId="0" applyNumberFormat="1" applyFont="1" applyFill="1" applyBorder="1" applyAlignment="1">
      <alignment vertical="center"/>
    </xf>
    <xf numFmtId="42" fontId="4" fillId="0" borderId="0" xfId="0" applyNumberFormat="1" applyFont="1" applyBorder="1" applyAlignment="1">
      <alignment vertical="center"/>
    </xf>
    <xf numFmtId="41" fontId="52" fillId="0" borderId="7" xfId="0" applyNumberFormat="1" applyFont="1" applyBorder="1" applyAlignment="1">
      <alignment vertical="center"/>
    </xf>
    <xf numFmtId="42" fontId="52" fillId="3" borderId="3" xfId="0" applyNumberFormat="1" applyFont="1" applyFill="1" applyBorder="1" applyAlignment="1">
      <alignment vertical="center"/>
    </xf>
    <xf numFmtId="41" fontId="52" fillId="3" borderId="3" xfId="0" applyNumberFormat="1" applyFont="1" applyFill="1" applyBorder="1" applyAlignment="1">
      <alignment vertical="center"/>
    </xf>
    <xf numFmtId="41" fontId="52" fillId="3" borderId="9" xfId="0" applyNumberFormat="1" applyFont="1" applyFill="1" applyBorder="1" applyAlignment="1">
      <alignment vertical="center"/>
    </xf>
    <xf numFmtId="41" fontId="52" fillId="3" borderId="7" xfId="0" applyNumberFormat="1" applyFont="1" applyFill="1" applyBorder="1" applyAlignment="1">
      <alignment vertical="center"/>
    </xf>
    <xf numFmtId="41" fontId="52" fillId="3" borderId="5" xfId="0" applyNumberFormat="1" applyFont="1" applyFill="1" applyBorder="1" applyAlignment="1">
      <alignment vertical="center"/>
    </xf>
    <xf numFmtId="41" fontId="3" fillId="0" borderId="3" xfId="0" applyNumberFormat="1" applyFont="1" applyFill="1" applyBorder="1" applyAlignment="1">
      <alignment vertical="center"/>
    </xf>
    <xf numFmtId="41" fontId="52" fillId="3" borderId="0" xfId="0" applyNumberFormat="1" applyFont="1" applyFill="1" applyBorder="1" applyAlignment="1">
      <alignment vertical="center"/>
    </xf>
    <xf numFmtId="42" fontId="4" fillId="0" borderId="8" xfId="0" applyNumberFormat="1" applyFont="1" applyFill="1" applyBorder="1" applyAlignment="1">
      <alignment vertical="center"/>
    </xf>
    <xf numFmtId="42" fontId="0" fillId="0" borderId="11" xfId="0" applyNumberFormat="1" applyBorder="1" applyAlignment="1">
      <alignment vertical="center"/>
    </xf>
    <xf numFmtId="42" fontId="4" fillId="0" borderId="11" xfId="0" applyNumberFormat="1" applyFont="1" applyBorder="1" applyAlignment="1">
      <alignment vertical="center"/>
    </xf>
    <xf numFmtId="41" fontId="70" fillId="2" borderId="9" xfId="0" applyNumberFormat="1" applyFont="1" applyFill="1" applyBorder="1" applyAlignment="1">
      <alignment vertical="center"/>
    </xf>
    <xf numFmtId="41" fontId="70" fillId="2" borderId="11" xfId="0" applyNumberFormat="1" applyFont="1" applyFill="1" applyBorder="1" applyAlignment="1">
      <alignment vertical="center"/>
    </xf>
    <xf numFmtId="41" fontId="70" fillId="2" borderId="5" xfId="0" applyNumberFormat="1" applyFont="1" applyFill="1" applyBorder="1" applyAlignment="1">
      <alignment vertical="center"/>
    </xf>
    <xf numFmtId="41" fontId="70" fillId="2" borderId="8" xfId="0" applyNumberFormat="1" applyFont="1" applyFill="1" applyBorder="1" applyAlignment="1">
      <alignment vertical="center"/>
    </xf>
    <xf numFmtId="41" fontId="59" fillId="0" borderId="3" xfId="0" applyNumberFormat="1" applyFont="1" applyFill="1" applyBorder="1" applyAlignment="1">
      <alignment vertical="center"/>
    </xf>
    <xf numFmtId="41" fontId="62" fillId="0" borderId="0" xfId="0" applyNumberFormat="1" applyFont="1" applyBorder="1" applyAlignment="1">
      <alignment vertical="center"/>
    </xf>
    <xf numFmtId="41" fontId="7" fillId="0" borderId="0" xfId="0" applyNumberFormat="1" applyFont="1" applyFill="1" applyBorder="1" applyAlignment="1">
      <alignment vertical="center"/>
    </xf>
    <xf numFmtId="165" fontId="5" fillId="0" borderId="0" xfId="6" applyNumberFormat="1" applyFont="1" applyFill="1" applyAlignment="1">
      <alignment horizontal="centerContinuous" vertical="center"/>
    </xf>
    <xf numFmtId="0" fontId="4" fillId="0" borderId="0" xfId="0" applyFont="1" applyFill="1" applyAlignment="1">
      <alignment horizontal="centerContinuous" vertical="center"/>
    </xf>
    <xf numFmtId="41" fontId="0" fillId="0" borderId="11" xfId="0" applyNumberFormat="1" applyFill="1" applyBorder="1" applyAlignment="1">
      <alignment vertical="center"/>
    </xf>
    <xf numFmtId="41" fontId="0" fillId="0" borderId="10" xfId="0" applyNumberFormat="1" applyFill="1" applyBorder="1" applyAlignment="1">
      <alignment vertical="center"/>
    </xf>
    <xf numFmtId="0" fontId="4" fillId="0" borderId="7" xfId="0" applyFont="1" applyFill="1" applyBorder="1" applyAlignment="1">
      <alignment vertical="center"/>
    </xf>
    <xf numFmtId="9" fontId="4" fillId="0" borderId="7" xfId="6" applyFont="1" applyFill="1" applyBorder="1" applyAlignment="1">
      <alignment vertical="center"/>
    </xf>
    <xf numFmtId="9" fontId="4" fillId="0" borderId="10" xfId="6" applyFont="1" applyFill="1" applyBorder="1" applyAlignment="1">
      <alignment vertical="center"/>
    </xf>
    <xf numFmtId="9" fontId="0" fillId="0" borderId="8" xfId="6" applyFont="1" applyFill="1" applyBorder="1" applyAlignment="1">
      <alignment vertical="center"/>
    </xf>
    <xf numFmtId="41" fontId="4" fillId="0" borderId="10" xfId="0" applyNumberFormat="1" applyFont="1" applyFill="1" applyBorder="1" applyAlignment="1">
      <alignment vertical="center"/>
    </xf>
    <xf numFmtId="41" fontId="0" fillId="0" borderId="6" xfId="0" applyNumberFormat="1" applyFill="1" applyBorder="1" applyAlignment="1">
      <alignment vertical="center"/>
    </xf>
    <xf numFmtId="41" fontId="4" fillId="0" borderId="0" xfId="0" applyNumberFormat="1" applyFont="1" applyAlignment="1">
      <alignment vertical="center"/>
    </xf>
    <xf numFmtId="41" fontId="52" fillId="3" borderId="4" xfId="0" applyNumberFormat="1" applyFont="1" applyFill="1" applyBorder="1" applyAlignment="1">
      <alignment vertical="center"/>
    </xf>
    <xf numFmtId="41" fontId="0" fillId="0" borderId="4" xfId="0" applyNumberFormat="1" applyFill="1" applyBorder="1" applyAlignment="1">
      <alignment vertical="center"/>
    </xf>
    <xf numFmtId="9" fontId="4" fillId="0" borderId="4" xfId="6" applyFont="1" applyFill="1" applyBorder="1" applyAlignment="1">
      <alignment vertical="center"/>
    </xf>
    <xf numFmtId="9" fontId="4" fillId="0" borderId="0" xfId="6" applyFont="1" applyFill="1" applyBorder="1" applyAlignment="1">
      <alignment vertical="center"/>
    </xf>
    <xf numFmtId="41" fontId="54" fillId="0" borderId="10" xfId="0" applyNumberFormat="1" applyFont="1" applyFill="1" applyBorder="1" applyAlignment="1">
      <alignment vertical="center"/>
    </xf>
    <xf numFmtId="9" fontId="0" fillId="0" borderId="4" xfId="6" applyFont="1" applyFill="1" applyBorder="1" applyAlignment="1">
      <alignment vertical="center"/>
    </xf>
    <xf numFmtId="9" fontId="0" fillId="0" borderId="10" xfId="6" applyFont="1" applyFill="1" applyBorder="1" applyAlignment="1">
      <alignment vertical="center"/>
    </xf>
    <xf numFmtId="41" fontId="55" fillId="0" borderId="0" xfId="0" applyNumberFormat="1" applyFont="1" applyFill="1" applyBorder="1" applyAlignment="1">
      <alignment vertical="center"/>
    </xf>
    <xf numFmtId="37" fontId="4" fillId="0" borderId="9" xfId="0" applyNumberFormat="1" applyFont="1" applyFill="1" applyBorder="1" applyAlignment="1">
      <alignment vertical="center"/>
    </xf>
    <xf numFmtId="41" fontId="54" fillId="0" borderId="0" xfId="6" applyNumberFormat="1" applyFont="1" applyFill="1" applyBorder="1" applyAlignment="1">
      <alignment vertical="center"/>
    </xf>
    <xf numFmtId="0" fontId="54" fillId="0" borderId="0" xfId="0" applyFont="1" applyFill="1" applyAlignment="1">
      <alignment vertical="center"/>
    </xf>
    <xf numFmtId="0" fontId="0" fillId="0" borderId="0" xfId="0" applyFill="1" applyAlignment="1">
      <alignment horizontal="centerContinuous" vertical="center"/>
    </xf>
    <xf numFmtId="41" fontId="4" fillId="4" borderId="3" xfId="0" applyNumberFormat="1" applyFont="1" applyFill="1" applyBorder="1" applyAlignment="1">
      <alignment vertical="center"/>
    </xf>
    <xf numFmtId="168" fontId="4" fillId="0" borderId="3" xfId="0" applyNumberFormat="1" applyFont="1" applyFill="1" applyBorder="1" applyAlignment="1">
      <alignment vertical="center"/>
    </xf>
    <xf numFmtId="37" fontId="10" fillId="0" borderId="3" xfId="0" applyNumberFormat="1" applyFont="1" applyFill="1" applyBorder="1" applyAlignment="1">
      <alignment vertical="center"/>
    </xf>
    <xf numFmtId="175" fontId="10" fillId="0" borderId="3" xfId="0" applyNumberFormat="1" applyFont="1" applyFill="1" applyBorder="1" applyAlignment="1">
      <alignment vertical="center"/>
    </xf>
    <xf numFmtId="5" fontId="10" fillId="0" borderId="3" xfId="0" applyNumberFormat="1" applyFont="1" applyFill="1" applyBorder="1" applyAlignment="1">
      <alignment vertical="center"/>
    </xf>
    <xf numFmtId="165" fontId="4" fillId="0" borderId="5" xfId="0" applyNumberFormat="1" applyFont="1" applyFill="1" applyBorder="1" applyAlignment="1">
      <alignment horizontal="right" vertical="center"/>
    </xf>
    <xf numFmtId="168" fontId="4" fillId="0" borderId="5" xfId="0" applyNumberFormat="1" applyFont="1" applyFill="1" applyBorder="1" applyAlignment="1">
      <alignment vertical="center"/>
    </xf>
    <xf numFmtId="41" fontId="4" fillId="0" borderId="5" xfId="0" applyNumberFormat="1" applyFont="1" applyFill="1" applyBorder="1" applyAlignment="1">
      <alignment horizontal="right" vertical="center"/>
    </xf>
    <xf numFmtId="37" fontId="10" fillId="0" borderId="7" xfId="0" applyNumberFormat="1" applyFont="1" applyFill="1" applyBorder="1" applyAlignment="1">
      <alignment vertical="center"/>
    </xf>
    <xf numFmtId="165" fontId="10" fillId="0" borderId="7" xfId="0" applyNumberFormat="1" applyFont="1" applyFill="1" applyBorder="1" applyAlignment="1">
      <alignment vertical="center"/>
    </xf>
    <xf numFmtId="167" fontId="10" fillId="0" borderId="7" xfId="6" applyNumberFormat="1" applyFont="1" applyFill="1" applyBorder="1" applyAlignment="1">
      <alignment horizontal="right" vertical="center"/>
    </xf>
    <xf numFmtId="167" fontId="10" fillId="0" borderId="7" xfId="6" applyNumberFormat="1" applyFont="1" applyFill="1" applyBorder="1" applyAlignment="1">
      <alignment vertical="center"/>
    </xf>
    <xf numFmtId="167" fontId="10" fillId="0" borderId="0" xfId="6" applyNumberFormat="1" applyFont="1" applyFill="1" applyBorder="1" applyAlignment="1">
      <alignment vertical="center"/>
    </xf>
    <xf numFmtId="41" fontId="10" fillId="0" borderId="7" xfId="0" applyNumberFormat="1" applyFont="1" applyFill="1" applyBorder="1" applyAlignment="1">
      <alignment vertical="center"/>
    </xf>
    <xf numFmtId="165" fontId="10" fillId="0" borderId="7" xfId="0" applyNumberFormat="1" applyFont="1" applyFill="1" applyBorder="1" applyAlignment="1">
      <alignment horizontal="right" vertical="center"/>
    </xf>
    <xf numFmtId="41" fontId="10" fillId="0" borderId="0" xfId="0" applyNumberFormat="1" applyFont="1" applyFill="1" applyBorder="1" applyAlignment="1">
      <alignment horizontal="right" vertical="center"/>
    </xf>
    <xf numFmtId="41" fontId="10" fillId="5" borderId="0" xfId="0" applyNumberFormat="1" applyFont="1" applyFill="1" applyBorder="1" applyAlignment="1">
      <alignment vertical="center"/>
    </xf>
    <xf numFmtId="41" fontId="54" fillId="5" borderId="0" xfId="0" applyNumberFormat="1" applyFont="1" applyFill="1" applyBorder="1" applyAlignment="1">
      <alignment vertical="center"/>
    </xf>
    <xf numFmtId="41" fontId="55" fillId="5" borderId="0" xfId="0" applyNumberFormat="1" applyFont="1" applyFill="1" applyBorder="1" applyAlignment="1">
      <alignment vertical="center"/>
    </xf>
    <xf numFmtId="4" fontId="4" fillId="0" borderId="3" xfId="0" applyNumberFormat="1" applyFont="1" applyBorder="1" applyAlignment="1">
      <alignment vertical="center"/>
    </xf>
    <xf numFmtId="41" fontId="4" fillId="0" borderId="7" xfId="0" applyNumberFormat="1" applyFont="1" applyFill="1" applyBorder="1" applyAlignment="1">
      <alignment horizontal="right" vertical="center"/>
    </xf>
    <xf numFmtId="41" fontId="4" fillId="0" borderId="9" xfId="0" applyNumberFormat="1" applyFont="1" applyFill="1" applyBorder="1" applyAlignment="1">
      <alignment horizontal="right" vertical="center"/>
    </xf>
    <xf numFmtId="41" fontId="4" fillId="0" borderId="5" xfId="0" applyNumberFormat="1" applyFont="1" applyFill="1" applyBorder="1" applyAlignment="1">
      <alignment horizontal="center" vertical="center"/>
    </xf>
    <xf numFmtId="41" fontId="59" fillId="0" borderId="0" xfId="0" applyNumberFormat="1" applyFont="1" applyFill="1" applyBorder="1" applyAlignment="1">
      <alignment horizontal="centerContinuous" vertical="center"/>
    </xf>
    <xf numFmtId="41" fontId="67" fillId="0" borderId="0" xfId="0" applyNumberFormat="1" applyFont="1" applyFill="1" applyBorder="1" applyAlignment="1">
      <alignment horizontal="center"/>
    </xf>
    <xf numFmtId="41" fontId="55" fillId="0" borderId="5" xfId="0" applyNumberFormat="1" applyFont="1" applyFill="1" applyBorder="1" applyAlignment="1">
      <alignment vertical="center"/>
    </xf>
    <xf numFmtId="41" fontId="54" fillId="0" borderId="0" xfId="0" applyNumberFormat="1" applyFont="1" applyFill="1" applyBorder="1" applyAlignment="1">
      <alignment horizontal="center" vertical="center"/>
    </xf>
    <xf numFmtId="167" fontId="55" fillId="0" borderId="0" xfId="6" applyNumberFormat="1" applyFont="1" applyFill="1" applyBorder="1" applyAlignment="1">
      <alignment vertical="center"/>
    </xf>
    <xf numFmtId="44" fontId="54" fillId="0" borderId="0" xfId="3" applyFont="1" applyFill="1" applyBorder="1" applyAlignment="1">
      <alignment vertical="center"/>
    </xf>
    <xf numFmtId="167" fontId="7" fillId="0" borderId="3" xfId="6" applyNumberFormat="1" applyFont="1" applyFill="1" applyBorder="1" applyAlignment="1">
      <alignment vertical="center"/>
    </xf>
    <xf numFmtId="167" fontId="61" fillId="0" borderId="0" xfId="6" applyNumberFormat="1" applyFont="1" applyFill="1" applyBorder="1" applyAlignment="1">
      <alignment vertical="center"/>
    </xf>
    <xf numFmtId="41" fontId="61" fillId="0" borderId="3" xfId="0" applyNumberFormat="1" applyFont="1" applyBorder="1" applyAlignment="1">
      <alignment vertical="center"/>
    </xf>
    <xf numFmtId="44" fontId="52" fillId="3" borderId="3" xfId="3" applyFont="1" applyFill="1" applyBorder="1" applyAlignment="1">
      <alignment vertical="center"/>
    </xf>
    <xf numFmtId="41" fontId="4" fillId="0" borderId="3" xfId="3" applyNumberFormat="1" applyFont="1" applyFill="1" applyBorder="1" applyAlignment="1">
      <alignment horizontal="right" vertical="center"/>
    </xf>
    <xf numFmtId="169" fontId="10" fillId="0" borderId="3" xfId="0" applyNumberFormat="1" applyFont="1" applyFill="1" applyBorder="1" applyAlignment="1">
      <alignment horizontal="right" vertical="center"/>
    </xf>
    <xf numFmtId="44" fontId="54" fillId="0" borderId="0" xfId="0" applyNumberFormat="1" applyFont="1" applyFill="1" applyBorder="1" applyAlignment="1">
      <alignment vertical="center"/>
    </xf>
    <xf numFmtId="41" fontId="4" fillId="0" borderId="11" xfId="0" applyNumberFormat="1" applyFont="1" applyFill="1" applyBorder="1" applyAlignment="1">
      <alignment horizontal="right" vertical="center"/>
    </xf>
    <xf numFmtId="165" fontId="10" fillId="0" borderId="7" xfId="0" quotePrefix="1" applyNumberFormat="1" applyFont="1" applyFill="1" applyBorder="1" applyAlignment="1">
      <alignment horizontal="right" vertical="center"/>
    </xf>
    <xf numFmtId="174" fontId="5" fillId="0" borderId="0" xfId="0" quotePrefix="1" applyNumberFormat="1" applyFont="1" applyBorder="1" applyAlignment="1">
      <alignment horizontal="center" vertical="center"/>
    </xf>
    <xf numFmtId="0" fontId="54" fillId="0" borderId="3" xfId="0" applyFont="1" applyFill="1" applyBorder="1" applyAlignment="1">
      <alignment vertical="center"/>
    </xf>
    <xf numFmtId="173" fontId="52" fillId="3" borderId="7" xfId="0" applyNumberFormat="1" applyFont="1" applyFill="1" applyBorder="1" applyAlignment="1">
      <alignment vertical="center"/>
    </xf>
    <xf numFmtId="165" fontId="55" fillId="0" borderId="3" xfId="0" applyNumberFormat="1" applyFont="1" applyFill="1" applyBorder="1" applyAlignment="1">
      <alignment vertical="center"/>
    </xf>
    <xf numFmtId="165" fontId="19" fillId="0" borderId="3" xfId="0" applyNumberFormat="1" applyFont="1" applyFill="1" applyBorder="1" applyAlignment="1">
      <alignment vertical="center"/>
    </xf>
    <xf numFmtId="41" fontId="55" fillId="0" borderId="3" xfId="0" applyNumberFormat="1" applyFont="1" applyFill="1" applyBorder="1" applyAlignment="1">
      <alignment vertical="center"/>
    </xf>
    <xf numFmtId="41" fontId="19" fillId="0" borderId="3" xfId="0" applyNumberFormat="1" applyFont="1" applyFill="1" applyBorder="1" applyAlignment="1">
      <alignment vertical="center"/>
    </xf>
    <xf numFmtId="41" fontId="19" fillId="0" borderId="7" xfId="0" applyNumberFormat="1" applyFont="1" applyFill="1" applyBorder="1" applyAlignment="1">
      <alignment vertical="center"/>
    </xf>
    <xf numFmtId="174" fontId="52" fillId="0" borderId="0" xfId="0" applyNumberFormat="1" applyFont="1" applyFill="1" applyBorder="1" applyAlignment="1">
      <alignment vertical="top" wrapText="1"/>
    </xf>
    <xf numFmtId="1" fontId="3" fillId="0" borderId="13" xfId="0" applyNumberFormat="1" applyFont="1" applyBorder="1" applyAlignment="1">
      <alignment horizontal="centerContinuous" vertical="center"/>
    </xf>
    <xf numFmtId="1" fontId="3" fillId="0" borderId="14" xfId="0" applyNumberFormat="1" applyFont="1" applyBorder="1" applyAlignment="1">
      <alignment horizontal="centerContinuous" vertical="center"/>
    </xf>
    <xf numFmtId="1" fontId="59" fillId="0" borderId="15" xfId="0" applyNumberFormat="1" applyFont="1" applyBorder="1" applyAlignment="1">
      <alignment horizontal="centerContinuous" vertical="center"/>
    </xf>
    <xf numFmtId="41" fontId="52" fillId="3" borderId="3" xfId="0" applyNumberFormat="1" applyFont="1" applyFill="1" applyBorder="1" applyAlignment="1">
      <alignment horizontal="center" vertical="center"/>
    </xf>
    <xf numFmtId="41" fontId="52" fillId="3" borderId="5" xfId="0" applyNumberFormat="1" applyFont="1" applyFill="1" applyBorder="1" applyAlignment="1">
      <alignment horizontal="center" vertical="center"/>
    </xf>
    <xf numFmtId="41" fontId="52" fillId="3" borderId="9" xfId="0" applyNumberFormat="1" applyFont="1" applyFill="1" applyBorder="1" applyAlignment="1">
      <alignment horizontal="center" vertical="center"/>
    </xf>
    <xf numFmtId="41" fontId="4" fillId="3" borderId="3" xfId="0" applyNumberFormat="1" applyFont="1" applyFill="1" applyBorder="1" applyAlignment="1">
      <alignment horizontal="right" vertical="center"/>
    </xf>
    <xf numFmtId="37" fontId="10" fillId="0" borderId="5" xfId="0" applyNumberFormat="1" applyFont="1" applyFill="1" applyBorder="1" applyAlignment="1">
      <alignment vertical="center"/>
    </xf>
    <xf numFmtId="0" fontId="4" fillId="0" borderId="3" xfId="0" applyFont="1" applyBorder="1" applyAlignment="1">
      <alignment vertical="center"/>
    </xf>
    <xf numFmtId="43" fontId="4" fillId="0" borderId="3" xfId="0" applyNumberFormat="1" applyFont="1" applyFill="1" applyBorder="1" applyAlignment="1">
      <alignment vertical="center"/>
    </xf>
    <xf numFmtId="181" fontId="4" fillId="0" borderId="3" xfId="0" applyNumberFormat="1" applyFont="1" applyFill="1" applyBorder="1" applyAlignment="1">
      <alignment vertical="center"/>
    </xf>
    <xf numFmtId="167" fontId="4" fillId="0" borderId="3" xfId="0" applyNumberFormat="1" applyFont="1" applyFill="1" applyBorder="1" applyAlignment="1">
      <alignment vertical="center"/>
    </xf>
    <xf numFmtId="43" fontId="10" fillId="0" borderId="3" xfId="0" applyNumberFormat="1" applyFont="1" applyFill="1" applyBorder="1" applyAlignment="1">
      <alignment vertical="center"/>
    </xf>
    <xf numFmtId="168" fontId="52" fillId="3" borderId="3" xfId="0" applyNumberFormat="1" applyFont="1" applyFill="1" applyBorder="1" applyAlignment="1">
      <alignment horizontal="right" vertical="center"/>
    </xf>
    <xf numFmtId="167" fontId="52" fillId="3" borderId="3" xfId="0" applyNumberFormat="1" applyFont="1" applyFill="1" applyBorder="1" applyAlignment="1">
      <alignment horizontal="right" vertical="center"/>
    </xf>
    <xf numFmtId="43" fontId="52" fillId="3" borderId="3" xfId="0" applyNumberFormat="1" applyFont="1" applyFill="1" applyBorder="1" applyAlignment="1">
      <alignment horizontal="right" vertical="center"/>
    </xf>
    <xf numFmtId="43" fontId="52" fillId="3" borderId="3" xfId="0" applyNumberFormat="1" applyFont="1" applyFill="1" applyBorder="1" applyAlignment="1">
      <alignment horizontal="left" vertical="center"/>
    </xf>
    <xf numFmtId="43" fontId="10" fillId="0" borderId="0" xfId="0" applyNumberFormat="1" applyFont="1" applyFill="1" applyBorder="1" applyAlignment="1">
      <alignment vertical="center"/>
    </xf>
    <xf numFmtId="43" fontId="60" fillId="0" borderId="0" xfId="0" applyNumberFormat="1" applyFont="1" applyFill="1" applyBorder="1" applyAlignment="1">
      <alignment horizontal="center" vertical="center"/>
    </xf>
    <xf numFmtId="0" fontId="10" fillId="0" borderId="3" xfId="0" applyFont="1" applyBorder="1" applyAlignment="1">
      <alignment vertical="center"/>
    </xf>
    <xf numFmtId="168" fontId="54" fillId="0" borderId="3" xfId="0" applyNumberFormat="1" applyFont="1" applyFill="1" applyBorder="1" applyAlignment="1">
      <alignment vertical="center"/>
    </xf>
    <xf numFmtId="44" fontId="52" fillId="3" borderId="3" xfId="0" applyNumberFormat="1" applyFont="1" applyFill="1" applyBorder="1" applyAlignment="1">
      <alignment vertical="center"/>
    </xf>
    <xf numFmtId="43" fontId="3" fillId="0" borderId="7" xfId="0" applyNumberFormat="1" applyFont="1" applyFill="1" applyBorder="1" applyAlignment="1">
      <alignment vertical="center"/>
    </xf>
    <xf numFmtId="168" fontId="58" fillId="3" borderId="7" xfId="0" applyNumberFormat="1" applyFont="1" applyFill="1" applyBorder="1" applyAlignment="1">
      <alignment horizontal="center" vertical="center"/>
    </xf>
    <xf numFmtId="167" fontId="58" fillId="3" borderId="7" xfId="0" applyNumberFormat="1" applyFont="1" applyFill="1" applyBorder="1" applyAlignment="1">
      <alignment horizontal="right" vertical="center"/>
    </xf>
    <xf numFmtId="43" fontId="58" fillId="3" borderId="7" xfId="0" applyNumberFormat="1" applyFont="1" applyFill="1" applyBorder="1" applyAlignment="1">
      <alignment horizontal="center" vertical="center"/>
    </xf>
    <xf numFmtId="43" fontId="31" fillId="0" borderId="0" xfId="0" applyNumberFormat="1" applyFont="1" applyFill="1" applyBorder="1" applyAlignment="1">
      <alignment horizontal="center" wrapText="1"/>
    </xf>
    <xf numFmtId="168" fontId="31" fillId="0" borderId="0" xfId="0" applyNumberFormat="1" applyFont="1" applyFill="1" applyBorder="1" applyAlignment="1">
      <alignment horizontal="center" wrapText="1"/>
    </xf>
    <xf numFmtId="43" fontId="78" fillId="0" borderId="0" xfId="0" applyNumberFormat="1" applyFont="1" applyFill="1" applyBorder="1" applyAlignment="1">
      <alignment wrapText="1"/>
    </xf>
    <xf numFmtId="0" fontId="4" fillId="0" borderId="3" xfId="0" applyFont="1" applyFill="1" applyBorder="1" applyAlignment="1">
      <alignment vertical="center"/>
    </xf>
    <xf numFmtId="41" fontId="10" fillId="0" borderId="3" xfId="0" applyNumberFormat="1" applyFont="1" applyBorder="1" applyAlignment="1">
      <alignment vertical="center"/>
    </xf>
    <xf numFmtId="41" fontId="10" fillId="0" borderId="5" xfId="0" applyNumberFormat="1" applyFont="1" applyBorder="1" applyAlignment="1">
      <alignment vertical="center"/>
    </xf>
    <xf numFmtId="41" fontId="4" fillId="6" borderId="3" xfId="0" applyNumberFormat="1" applyFont="1" applyFill="1" applyBorder="1" applyAlignment="1">
      <alignment vertical="center"/>
    </xf>
    <xf numFmtId="41" fontId="30" fillId="0" borderId="4" xfId="0" applyNumberFormat="1" applyFont="1" applyBorder="1" applyAlignment="1">
      <alignment horizontal="centerContinuous" vertical="center"/>
    </xf>
    <xf numFmtId="41" fontId="30" fillId="0" borderId="4" xfId="0" applyNumberFormat="1" applyFont="1" applyBorder="1" applyAlignment="1">
      <alignment horizontal="center" vertical="center"/>
    </xf>
    <xf numFmtId="41" fontId="4" fillId="0" borderId="3" xfId="0" applyNumberFormat="1" applyFont="1" applyBorder="1" applyAlignment="1">
      <alignment horizontal="center" vertical="center"/>
    </xf>
    <xf numFmtId="41" fontId="3" fillId="0" borderId="3" xfId="0" quotePrefix="1" applyNumberFormat="1" applyFont="1" applyFill="1" applyBorder="1" applyAlignment="1">
      <alignment horizontal="left" vertical="center"/>
    </xf>
    <xf numFmtId="41" fontId="37" fillId="0" borderId="3" xfId="0" applyNumberFormat="1" applyFont="1" applyBorder="1" applyAlignment="1">
      <alignment horizontal="centerContinuous" vertical="center"/>
    </xf>
    <xf numFmtId="41" fontId="4" fillId="0" borderId="3" xfId="0" applyNumberFormat="1" applyFont="1" applyBorder="1" applyAlignment="1">
      <alignment horizontal="centerContinuous" vertical="center"/>
    </xf>
    <xf numFmtId="41" fontId="3" fillId="0" borderId="5" xfId="0" quotePrefix="1" applyNumberFormat="1" applyFont="1" applyFill="1" applyBorder="1" applyAlignment="1">
      <alignment horizontal="left" vertical="center"/>
    </xf>
    <xf numFmtId="165" fontId="10" fillId="0" borderId="5" xfId="0" applyNumberFormat="1" applyFont="1" applyBorder="1" applyAlignment="1">
      <alignment vertical="center"/>
    </xf>
    <xf numFmtId="165" fontId="10" fillId="0" borderId="3" xfId="0" applyNumberFormat="1" applyFont="1" applyBorder="1" applyAlignment="1">
      <alignment vertical="center"/>
    </xf>
    <xf numFmtId="41" fontId="56" fillId="2" borderId="2" xfId="0" applyNumberFormat="1" applyFont="1" applyFill="1" applyBorder="1" applyAlignment="1">
      <alignment horizontal="center" vertical="center"/>
    </xf>
    <xf numFmtId="41" fontId="56" fillId="2" borderId="16" xfId="0" applyNumberFormat="1" applyFont="1" applyFill="1" applyBorder="1" applyAlignment="1">
      <alignment horizontal="centerContinuous" vertical="center"/>
    </xf>
    <xf numFmtId="41" fontId="56" fillId="2" borderId="17" xfId="0" applyNumberFormat="1" applyFont="1" applyFill="1" applyBorder="1" applyAlignment="1">
      <alignment horizontal="centerContinuous" vertical="center"/>
    </xf>
    <xf numFmtId="3" fontId="81" fillId="7" borderId="2" xfId="0" applyNumberFormat="1" applyFont="1" applyFill="1" applyBorder="1" applyAlignment="1">
      <alignment horizontal="center" vertical="center"/>
    </xf>
    <xf numFmtId="3" fontId="81" fillId="7" borderId="18" xfId="0" applyNumberFormat="1" applyFont="1" applyFill="1" applyBorder="1" applyAlignment="1">
      <alignment horizontal="centerContinuous" vertical="center"/>
    </xf>
    <xf numFmtId="3" fontId="56" fillId="7" borderId="19" xfId="0" applyNumberFormat="1" applyFont="1" applyFill="1" applyBorder="1" applyAlignment="1">
      <alignment horizontal="centerContinuous" vertical="center"/>
    </xf>
    <xf numFmtId="41" fontId="4" fillId="0" borderId="7" xfId="0" applyNumberFormat="1" applyFont="1" applyBorder="1" applyAlignment="1">
      <alignment horizontal="center" vertical="center"/>
    </xf>
    <xf numFmtId="182" fontId="4" fillId="0" borderId="7" xfId="0" applyNumberFormat="1" applyFont="1" applyBorder="1" applyAlignment="1">
      <alignment horizontal="center" vertical="center"/>
    </xf>
    <xf numFmtId="41" fontId="56" fillId="2" borderId="16" xfId="0" applyNumberFormat="1" applyFont="1" applyFill="1" applyBorder="1" applyAlignment="1">
      <alignment horizontal="right" vertical="center"/>
    </xf>
    <xf numFmtId="41" fontId="56" fillId="2" borderId="17" xfId="0" applyNumberFormat="1" applyFont="1" applyFill="1" applyBorder="1" applyAlignment="1">
      <alignment horizontal="center" vertical="center"/>
    </xf>
    <xf numFmtId="3" fontId="81" fillId="7" borderId="20" xfId="0" applyNumberFormat="1" applyFont="1" applyFill="1" applyBorder="1" applyAlignment="1">
      <alignment horizontal="centerContinuous" vertical="center"/>
    </xf>
    <xf numFmtId="3" fontId="56" fillId="7" borderId="21" xfId="0" applyNumberFormat="1" applyFont="1" applyFill="1" applyBorder="1" applyAlignment="1">
      <alignment horizontal="centerContinuous" vertical="center"/>
    </xf>
    <xf numFmtId="3" fontId="81" fillId="7" borderId="22" xfId="0" applyNumberFormat="1" applyFont="1" applyFill="1" applyBorder="1" applyAlignment="1">
      <alignment horizontal="center" vertical="center"/>
    </xf>
    <xf numFmtId="41" fontId="71" fillId="0" borderId="3" xfId="0" applyNumberFormat="1" applyFont="1" applyBorder="1" applyAlignment="1">
      <alignment horizontal="center" vertical="center"/>
    </xf>
    <xf numFmtId="41" fontId="71" fillId="0" borderId="3" xfId="0" applyNumberFormat="1" applyFont="1" applyBorder="1" applyAlignment="1">
      <alignment vertical="center"/>
    </xf>
    <xf numFmtId="164" fontId="4" fillId="0" borderId="5" xfId="0" applyNumberFormat="1" applyFont="1" applyFill="1" applyBorder="1" applyAlignment="1">
      <alignment vertical="center"/>
    </xf>
    <xf numFmtId="0" fontId="28" fillId="0" borderId="0" xfId="0" applyFont="1" applyFill="1" applyAlignment="1">
      <alignment vertical="center"/>
    </xf>
    <xf numFmtId="37" fontId="4" fillId="0" borderId="5" xfId="0" applyNumberFormat="1" applyFont="1" applyFill="1" applyBorder="1" applyAlignment="1">
      <alignment vertical="center"/>
    </xf>
    <xf numFmtId="0" fontId="4" fillId="0" borderId="5" xfId="0" applyFont="1" applyBorder="1" applyAlignment="1">
      <alignment vertical="center"/>
    </xf>
    <xf numFmtId="41" fontId="30" fillId="0" borderId="9" xfId="0" applyNumberFormat="1" applyFont="1" applyBorder="1" applyAlignment="1">
      <alignment horizontal="centerContinuous" vertical="center"/>
    </xf>
    <xf numFmtId="167" fontId="52" fillId="3" borderId="2" xfId="6" applyNumberFormat="1" applyFont="1" applyFill="1" applyBorder="1" applyAlignment="1">
      <alignment vertical="center"/>
    </xf>
    <xf numFmtId="174" fontId="4" fillId="0" borderId="5" xfId="0" applyNumberFormat="1" applyFont="1" applyFill="1" applyBorder="1" applyAlignment="1">
      <alignment horizontal="center" vertical="center"/>
    </xf>
    <xf numFmtId="42" fontId="4" fillId="0" borderId="3" xfId="0" applyNumberFormat="1" applyFont="1" applyFill="1" applyBorder="1" applyAlignment="1">
      <alignment vertical="center"/>
    </xf>
    <xf numFmtId="174" fontId="4" fillId="0" borderId="7" xfId="0" applyNumberFormat="1" applyFont="1" applyFill="1" applyBorder="1" applyAlignment="1">
      <alignment horizontal="center" vertical="center"/>
    </xf>
    <xf numFmtId="41" fontId="30" fillId="4" borderId="4" xfId="0" applyNumberFormat="1" applyFont="1" applyFill="1" applyBorder="1" applyAlignment="1">
      <alignment horizontal="center" vertical="center"/>
    </xf>
    <xf numFmtId="42" fontId="4" fillId="4" borderId="7" xfId="0" quotePrefix="1" applyNumberFormat="1" applyFont="1" applyFill="1" applyBorder="1" applyAlignment="1">
      <alignment vertical="center"/>
    </xf>
    <xf numFmtId="42" fontId="4" fillId="4" borderId="8" xfId="0" quotePrefix="1" applyNumberFormat="1" applyFont="1" applyFill="1" applyBorder="1" applyAlignment="1">
      <alignment vertical="center"/>
    </xf>
    <xf numFmtId="174" fontId="4" fillId="0" borderId="3" xfId="0" applyNumberFormat="1" applyFont="1" applyBorder="1" applyAlignment="1">
      <alignment horizontal="center" vertical="center"/>
    </xf>
    <xf numFmtId="42" fontId="4" fillId="0" borderId="8" xfId="0" applyNumberFormat="1" applyFont="1" applyBorder="1" applyAlignment="1">
      <alignment vertical="center"/>
    </xf>
    <xf numFmtId="42" fontId="4" fillId="0" borderId="7" xfId="0" applyNumberFormat="1" applyFont="1" applyBorder="1" applyAlignment="1">
      <alignment horizontal="center" vertical="center"/>
    </xf>
    <xf numFmtId="42" fontId="71" fillId="0" borderId="3" xfId="0" applyNumberFormat="1" applyFont="1" applyBorder="1" applyAlignment="1">
      <alignment horizontal="center" vertical="center"/>
    </xf>
    <xf numFmtId="42" fontId="10" fillId="0" borderId="3" xfId="0" applyNumberFormat="1" applyFont="1" applyBorder="1" applyAlignment="1">
      <alignment vertical="center"/>
    </xf>
    <xf numFmtId="42" fontId="71" fillId="0" borderId="3" xfId="0" applyNumberFormat="1" applyFont="1" applyBorder="1" applyAlignment="1">
      <alignment vertical="center"/>
    </xf>
    <xf numFmtId="41" fontId="84" fillId="0" borderId="3" xfId="0" applyNumberFormat="1" applyFont="1" applyBorder="1" applyAlignment="1">
      <alignment vertical="center"/>
    </xf>
    <xf numFmtId="42" fontId="10" fillId="0" borderId="7" xfId="0" applyNumberFormat="1" applyFont="1" applyBorder="1" applyAlignment="1">
      <alignment horizontal="center" vertical="center"/>
    </xf>
    <xf numFmtId="174" fontId="10" fillId="0" borderId="3" xfId="0" applyNumberFormat="1" applyFont="1" applyBorder="1" applyAlignment="1">
      <alignment horizontal="center" vertical="center"/>
    </xf>
    <xf numFmtId="174" fontId="71" fillId="0" borderId="3" xfId="0" applyNumberFormat="1" applyFont="1" applyBorder="1" applyAlignment="1">
      <alignment horizontal="center" vertical="center"/>
    </xf>
    <xf numFmtId="164" fontId="4" fillId="4" borderId="3" xfId="0" applyNumberFormat="1" applyFont="1" applyFill="1" applyBorder="1" applyAlignment="1">
      <alignment vertical="center"/>
    </xf>
    <xf numFmtId="0" fontId="4" fillId="4" borderId="3" xfId="0" applyFont="1" applyFill="1" applyBorder="1" applyAlignment="1">
      <alignment vertical="center"/>
    </xf>
    <xf numFmtId="174" fontId="4" fillId="4" borderId="3" xfId="0" applyNumberFormat="1" applyFont="1" applyFill="1" applyBorder="1" applyAlignment="1">
      <alignment horizontal="center" vertical="center"/>
    </xf>
    <xf numFmtId="164" fontId="17" fillId="4" borderId="3" xfId="0" applyNumberFormat="1" applyFont="1" applyFill="1" applyBorder="1" applyAlignment="1">
      <alignment horizontal="center" vertical="center"/>
    </xf>
    <xf numFmtId="42" fontId="4" fillId="4" borderId="3" xfId="0" applyNumberFormat="1" applyFont="1" applyFill="1" applyBorder="1" applyAlignment="1">
      <alignment vertical="center"/>
    </xf>
    <xf numFmtId="42" fontId="4" fillId="4" borderId="5" xfId="0" applyNumberFormat="1" applyFont="1" applyFill="1" applyBorder="1" applyAlignment="1">
      <alignment vertical="center"/>
    </xf>
    <xf numFmtId="41" fontId="4" fillId="4" borderId="5" xfId="0" applyNumberFormat="1" applyFont="1" applyFill="1" applyBorder="1" applyAlignment="1">
      <alignment vertical="center"/>
    </xf>
    <xf numFmtId="0" fontId="7" fillId="4" borderId="3" xfId="0" applyFont="1" applyFill="1" applyBorder="1" applyAlignment="1">
      <alignment vertical="center"/>
    </xf>
    <xf numFmtId="42" fontId="4" fillId="4" borderId="8" xfId="0" applyNumberFormat="1" applyFont="1" applyFill="1" applyBorder="1" applyAlignment="1">
      <alignment vertical="center"/>
    </xf>
    <xf numFmtId="42" fontId="4" fillId="0" borderId="3" xfId="0" applyNumberFormat="1" applyFont="1" applyFill="1" applyBorder="1" applyAlignment="1">
      <alignment horizontal="center" vertical="center"/>
    </xf>
    <xf numFmtId="167" fontId="4" fillId="0" borderId="23" xfId="6" applyNumberFormat="1" applyFont="1" applyFill="1" applyBorder="1" applyAlignment="1">
      <alignment vertical="center"/>
    </xf>
    <xf numFmtId="167" fontId="4" fillId="0" borderId="0" xfId="6" applyNumberFormat="1" applyFont="1" applyBorder="1" applyAlignment="1">
      <alignment horizontal="right" vertical="center"/>
    </xf>
    <xf numFmtId="42" fontId="4" fillId="0" borderId="5" xfId="0" applyNumberFormat="1" applyFont="1" applyFill="1" applyBorder="1" applyAlignment="1">
      <alignment vertical="center"/>
    </xf>
    <xf numFmtId="41" fontId="4" fillId="4" borderId="3" xfId="0" quotePrefix="1" applyNumberFormat="1" applyFont="1" applyFill="1" applyBorder="1" applyAlignment="1">
      <alignment horizontal="right" vertical="center"/>
    </xf>
    <xf numFmtId="41" fontId="71" fillId="0" borderId="3" xfId="0" applyNumberFormat="1" applyFont="1" applyFill="1" applyBorder="1" applyAlignment="1">
      <alignment vertical="center"/>
    </xf>
    <xf numFmtId="42" fontId="10" fillId="0" borderId="7" xfId="0" applyNumberFormat="1" applyFont="1" applyFill="1" applyBorder="1" applyAlignment="1">
      <alignment horizontal="center" vertical="center"/>
    </xf>
    <xf numFmtId="42" fontId="71" fillId="0" borderId="8" xfId="0" applyNumberFormat="1" applyFont="1" applyBorder="1" applyAlignment="1">
      <alignment vertical="center"/>
    </xf>
    <xf numFmtId="42" fontId="0" fillId="0" borderId="0" xfId="0" applyNumberFormat="1" applyFill="1" applyBorder="1" applyAlignment="1">
      <alignment vertical="center"/>
    </xf>
    <xf numFmtId="42" fontId="0" fillId="0" borderId="8" xfId="0" applyNumberFormat="1" applyFill="1" applyBorder="1" applyAlignment="1">
      <alignment vertical="center"/>
    </xf>
    <xf numFmtId="174" fontId="5" fillId="0" borderId="0" xfId="6" applyNumberFormat="1" applyFont="1" applyBorder="1" applyAlignment="1">
      <alignment horizontal="center" vertical="center"/>
    </xf>
    <xf numFmtId="175" fontId="5" fillId="0" borderId="0" xfId="0" applyNumberFormat="1" applyFont="1" applyFill="1" applyAlignment="1">
      <alignment horizontal="centerContinuous" vertical="center"/>
    </xf>
    <xf numFmtId="41" fontId="4" fillId="0" borderId="0" xfId="6" applyNumberFormat="1" applyFont="1" applyFill="1" applyBorder="1" applyAlignment="1">
      <alignment vertical="center"/>
    </xf>
    <xf numFmtId="42" fontId="4" fillId="0" borderId="0" xfId="0" applyNumberFormat="1" applyFont="1" applyFill="1" applyBorder="1" applyAlignment="1">
      <alignment vertical="center"/>
    </xf>
    <xf numFmtId="41" fontId="54" fillId="0" borderId="8" xfId="0" applyNumberFormat="1" applyFont="1" applyFill="1" applyBorder="1" applyAlignment="1">
      <alignment vertical="center"/>
    </xf>
    <xf numFmtId="9" fontId="0" fillId="0" borderId="3" xfId="6" applyFont="1" applyBorder="1" applyAlignment="1">
      <alignment vertical="center"/>
    </xf>
    <xf numFmtId="37" fontId="3" fillId="0" borderId="3" xfId="0" applyNumberFormat="1" applyFont="1" applyBorder="1" applyAlignment="1">
      <alignment vertical="center"/>
    </xf>
    <xf numFmtId="41" fontId="10" fillId="2" borderId="0" xfId="0" applyNumberFormat="1" applyFont="1" applyFill="1" applyBorder="1" applyAlignment="1">
      <alignment vertical="center"/>
    </xf>
    <xf numFmtId="37" fontId="4" fillId="0" borderId="10" xfId="0" applyNumberFormat="1" applyFont="1" applyFill="1" applyBorder="1" applyAlignment="1">
      <alignment vertical="center"/>
    </xf>
    <xf numFmtId="41" fontId="7" fillId="5" borderId="0" xfId="0" applyNumberFormat="1" applyFont="1" applyFill="1" applyBorder="1" applyAlignment="1">
      <alignment vertical="top"/>
    </xf>
    <xf numFmtId="41" fontId="31" fillId="5" borderId="0" xfId="0" applyNumberFormat="1" applyFont="1" applyFill="1" applyBorder="1" applyAlignment="1">
      <alignment horizontal="center" vertical="center" wrapText="1"/>
    </xf>
    <xf numFmtId="41" fontId="4" fillId="5" borderId="0" xfId="0" applyNumberFormat="1" applyFont="1" applyFill="1" applyBorder="1" applyAlignment="1">
      <alignment vertical="center"/>
    </xf>
    <xf numFmtId="0" fontId="10" fillId="5" borderId="0" xfId="0" applyFont="1" applyFill="1" applyBorder="1" applyAlignment="1">
      <alignment vertical="center"/>
    </xf>
    <xf numFmtId="0" fontId="4" fillId="5" borderId="0" xfId="0" applyFont="1" applyFill="1" applyBorder="1" applyAlignment="1">
      <alignment vertical="center"/>
    </xf>
    <xf numFmtId="1" fontId="5" fillId="0" borderId="0" xfId="0" quotePrefix="1" applyNumberFormat="1" applyFont="1" applyFill="1" applyBorder="1" applyAlignment="1">
      <alignment horizontal="center" vertical="center"/>
    </xf>
    <xf numFmtId="174" fontId="5" fillId="0" borderId="0" xfId="6" applyNumberFormat="1" applyFont="1" applyFill="1" applyBorder="1" applyAlignment="1">
      <alignment horizontal="center" vertical="center"/>
    </xf>
    <xf numFmtId="3" fontId="0" fillId="0" borderId="0" xfId="0" applyNumberFormat="1" applyBorder="1" applyAlignment="1">
      <alignment vertical="center"/>
    </xf>
    <xf numFmtId="41" fontId="0" fillId="6" borderId="3" xfId="0" applyNumberFormat="1" applyFill="1" applyBorder="1" applyAlignment="1">
      <alignment vertical="center"/>
    </xf>
    <xf numFmtId="41" fontId="52" fillId="3" borderId="0" xfId="6" applyNumberFormat="1" applyFont="1" applyFill="1" applyBorder="1" applyAlignment="1">
      <alignment vertical="center"/>
    </xf>
    <xf numFmtId="164" fontId="10" fillId="0" borderId="5" xfId="0" applyNumberFormat="1" applyFont="1" applyFill="1" applyBorder="1" applyAlignment="1">
      <alignment horizontal="right" vertical="center"/>
    </xf>
    <xf numFmtId="167" fontId="10" fillId="0" borderId="5" xfId="0" applyNumberFormat="1" applyFont="1" applyFill="1" applyBorder="1" applyAlignment="1">
      <alignment horizontal="right" vertical="center"/>
    </xf>
    <xf numFmtId="164" fontId="10" fillId="0" borderId="7" xfId="0" applyNumberFormat="1" applyFont="1" applyFill="1" applyBorder="1" applyAlignment="1">
      <alignment vertical="center"/>
    </xf>
    <xf numFmtId="164" fontId="55" fillId="0" borderId="0" xfId="0" applyNumberFormat="1" applyFont="1" applyFill="1" applyBorder="1" applyAlignment="1">
      <alignment vertical="center"/>
    </xf>
    <xf numFmtId="164" fontId="10" fillId="0" borderId="0" xfId="0" applyNumberFormat="1" applyFont="1" applyFill="1" applyBorder="1" applyAlignment="1">
      <alignment vertical="center"/>
    </xf>
    <xf numFmtId="164" fontId="10" fillId="0" borderId="3" xfId="0" applyNumberFormat="1" applyFont="1" applyFill="1" applyBorder="1" applyAlignment="1">
      <alignment vertical="center"/>
    </xf>
    <xf numFmtId="164" fontId="10" fillId="0" borderId="5" xfId="0" applyNumberFormat="1" applyFont="1" applyFill="1" applyBorder="1" applyAlignment="1">
      <alignment vertical="center"/>
    </xf>
    <xf numFmtId="164" fontId="55" fillId="0" borderId="0" xfId="0" quotePrefix="1" applyNumberFormat="1" applyFont="1" applyFill="1" applyBorder="1" applyAlignment="1">
      <alignment vertical="center"/>
    </xf>
    <xf numFmtId="43" fontId="55" fillId="0" borderId="0" xfId="0" applyNumberFormat="1" applyFont="1" applyFill="1" applyBorder="1" applyAlignment="1">
      <alignment vertical="center"/>
    </xf>
    <xf numFmtId="167" fontId="4" fillId="0" borderId="7" xfId="6" applyNumberFormat="1" applyFont="1" applyFill="1" applyBorder="1" applyAlignment="1">
      <alignment vertical="center"/>
    </xf>
    <xf numFmtId="164" fontId="54" fillId="2" borderId="7" xfId="0" applyNumberFormat="1" applyFont="1" applyFill="1" applyBorder="1" applyAlignment="1">
      <alignment vertical="center"/>
    </xf>
    <xf numFmtId="164" fontId="54" fillId="2" borderId="3" xfId="0" applyNumberFormat="1" applyFont="1" applyFill="1" applyBorder="1" applyAlignment="1">
      <alignment vertical="center"/>
    </xf>
    <xf numFmtId="41" fontId="54" fillId="2" borderId="5" xfId="0" applyNumberFormat="1" applyFont="1" applyFill="1" applyBorder="1" applyAlignment="1">
      <alignment vertical="center"/>
    </xf>
    <xf numFmtId="41" fontId="54" fillId="2" borderId="11" xfId="0" applyNumberFormat="1" applyFont="1" applyFill="1" applyBorder="1" applyAlignment="1">
      <alignment vertical="center"/>
    </xf>
    <xf numFmtId="41" fontId="54" fillId="2" borderId="3" xfId="0" applyNumberFormat="1" applyFont="1" applyFill="1" applyBorder="1" applyAlignment="1">
      <alignment horizontal="center" vertical="center"/>
    </xf>
    <xf numFmtId="168" fontId="54" fillId="2" borderId="5" xfId="0" applyNumberFormat="1" applyFont="1" applyFill="1" applyBorder="1" applyAlignment="1">
      <alignment vertical="center"/>
    </xf>
    <xf numFmtId="164" fontId="54" fillId="2" borderId="7" xfId="0" quotePrefix="1" applyNumberFormat="1" applyFont="1" applyFill="1" applyBorder="1" applyAlignment="1">
      <alignment vertical="center"/>
    </xf>
    <xf numFmtId="164" fontId="54" fillId="2" borderId="3" xfId="0" quotePrefix="1" applyNumberFormat="1" applyFont="1" applyFill="1" applyBorder="1" applyAlignment="1">
      <alignment vertical="center"/>
    </xf>
    <xf numFmtId="167" fontId="54" fillId="2" borderId="7" xfId="6" applyNumberFormat="1" applyFont="1" applyFill="1" applyBorder="1" applyAlignment="1">
      <alignment vertical="center"/>
    </xf>
    <xf numFmtId="167" fontId="61" fillId="2" borderId="3" xfId="6" applyNumberFormat="1" applyFont="1" applyFill="1" applyBorder="1" applyAlignment="1">
      <alignment vertical="center"/>
    </xf>
    <xf numFmtId="167" fontId="54" fillId="2" borderId="3" xfId="6" quotePrefix="1" applyNumberFormat="1" applyFont="1" applyFill="1" applyBorder="1" applyAlignment="1">
      <alignment vertical="center"/>
    </xf>
    <xf numFmtId="41" fontId="54" fillId="2" borderId="5" xfId="0" applyNumberFormat="1" applyFont="1" applyFill="1" applyBorder="1" applyAlignment="1">
      <alignment horizontal="center" vertical="center"/>
    </xf>
    <xf numFmtId="167" fontId="54" fillId="2" borderId="3" xfId="6" applyNumberFormat="1" applyFont="1" applyFill="1" applyBorder="1" applyAlignment="1">
      <alignment vertical="center"/>
    </xf>
    <xf numFmtId="41" fontId="54" fillId="2" borderId="3" xfId="0" applyNumberFormat="1" applyFont="1" applyFill="1" applyBorder="1" applyAlignment="1">
      <alignment horizontal="right" vertical="center"/>
    </xf>
    <xf numFmtId="176" fontId="0" fillId="0" borderId="0" xfId="0" applyNumberFormat="1" applyBorder="1" applyAlignment="1">
      <alignment horizontal="center" vertical="center"/>
    </xf>
    <xf numFmtId="0" fontId="5" fillId="0" borderId="0" xfId="0" applyNumberFormat="1" applyFont="1" applyFill="1" applyBorder="1" applyAlignment="1">
      <alignment horizontal="centerContinuous" vertical="center"/>
    </xf>
    <xf numFmtId="0" fontId="5" fillId="0" borderId="0" xfId="0" applyNumberFormat="1" applyFont="1" applyBorder="1" applyAlignment="1">
      <alignment horizontal="centerContinuous" vertical="center"/>
    </xf>
    <xf numFmtId="0" fontId="5" fillId="0" borderId="0" xfId="0" applyNumberFormat="1" applyFont="1" applyFill="1" applyBorder="1" applyAlignment="1">
      <alignment horizontal="center" vertical="center"/>
    </xf>
    <xf numFmtId="42" fontId="7" fillId="0" borderId="8" xfId="0" applyNumberFormat="1" applyFont="1" applyBorder="1" applyAlignment="1">
      <alignment vertical="center"/>
    </xf>
    <xf numFmtId="42" fontId="7" fillId="0" borderId="8" xfId="0" applyNumberFormat="1" applyFont="1" applyBorder="1" applyAlignment="1">
      <alignment horizontal="center" vertical="center"/>
    </xf>
    <xf numFmtId="165" fontId="7" fillId="0" borderId="8" xfId="0" applyNumberFormat="1" applyFont="1" applyBorder="1" applyAlignment="1">
      <alignment vertical="center"/>
    </xf>
    <xf numFmtId="41" fontId="0" fillId="0" borderId="5" xfId="0" applyNumberFormat="1" applyBorder="1" applyAlignment="1">
      <alignment horizontal="center" vertical="center"/>
    </xf>
    <xf numFmtId="42" fontId="0" fillId="0" borderId="9" xfId="0" applyNumberFormat="1" applyBorder="1" applyAlignment="1">
      <alignment vertical="center"/>
    </xf>
    <xf numFmtId="37" fontId="4" fillId="0" borderId="8" xfId="0" applyNumberFormat="1" applyFont="1" applyBorder="1" applyAlignment="1">
      <alignment vertical="center"/>
    </xf>
    <xf numFmtId="0" fontId="5" fillId="0" borderId="0" xfId="0" applyNumberFormat="1" applyFont="1" applyFill="1" applyAlignment="1">
      <alignment horizontal="centerContinuous" vertical="center"/>
    </xf>
    <xf numFmtId="41" fontId="52" fillId="2" borderId="0" xfId="0" applyNumberFormat="1" applyFont="1" applyFill="1" applyBorder="1" applyAlignment="1">
      <alignment vertical="center"/>
    </xf>
    <xf numFmtId="41" fontId="3" fillId="2" borderId="0" xfId="6" applyNumberFormat="1" applyFont="1" applyFill="1" applyBorder="1" applyAlignment="1">
      <alignment vertical="center"/>
    </xf>
    <xf numFmtId="41" fontId="54" fillId="0" borderId="0" xfId="6" applyNumberFormat="1" applyFont="1" applyFill="1" applyBorder="1" applyAlignment="1">
      <alignment horizontal="center" vertical="center"/>
    </xf>
    <xf numFmtId="41" fontId="0" fillId="0" borderId="3" xfId="0" applyNumberFormat="1" applyBorder="1" applyAlignment="1">
      <alignment horizontal="center" vertical="center"/>
    </xf>
    <xf numFmtId="0" fontId="3" fillId="0" borderId="9" xfId="0" applyFont="1" applyBorder="1" applyAlignment="1">
      <alignment vertical="center"/>
    </xf>
    <xf numFmtId="42" fontId="0" fillId="0" borderId="9" xfId="6" applyNumberFormat="1" applyFont="1" applyBorder="1" applyAlignment="1">
      <alignment vertical="center"/>
    </xf>
    <xf numFmtId="0" fontId="4" fillId="0" borderId="9" xfId="0" applyFont="1" applyFill="1" applyBorder="1" applyAlignment="1">
      <alignment vertical="center"/>
    </xf>
    <xf numFmtId="167" fontId="4" fillId="0" borderId="9" xfId="6" applyNumberFormat="1" applyFont="1" applyBorder="1" applyAlignment="1">
      <alignment vertical="center"/>
    </xf>
    <xf numFmtId="0" fontId="3" fillId="0" borderId="8" xfId="0" applyFont="1" applyBorder="1" applyAlignment="1">
      <alignment vertical="center"/>
    </xf>
    <xf numFmtId="41" fontId="4" fillId="0" borderId="10" xfId="0" applyNumberFormat="1" applyFont="1" applyBorder="1" applyAlignment="1">
      <alignment vertical="center"/>
    </xf>
    <xf numFmtId="167" fontId="4" fillId="0" borderId="3" xfId="6" applyNumberFormat="1" applyFont="1" applyBorder="1" applyAlignment="1">
      <alignment vertical="center"/>
    </xf>
    <xf numFmtId="41" fontId="54" fillId="0" borderId="0" xfId="6" applyNumberFormat="1" applyFont="1" applyBorder="1" applyAlignment="1">
      <alignment vertical="center"/>
    </xf>
    <xf numFmtId="41" fontId="54" fillId="6" borderId="3" xfId="0" applyNumberFormat="1" applyFont="1" applyFill="1" applyBorder="1" applyAlignment="1">
      <alignment vertical="center"/>
    </xf>
    <xf numFmtId="37" fontId="3" fillId="0" borderId="0" xfId="0" applyNumberFormat="1" applyFont="1" applyFill="1" applyAlignment="1">
      <alignment vertical="center"/>
    </xf>
    <xf numFmtId="41" fontId="6" fillId="0" borderId="0" xfId="0" applyNumberFormat="1" applyFont="1" applyFill="1" applyAlignment="1">
      <alignment vertical="center"/>
    </xf>
    <xf numFmtId="165" fontId="67" fillId="0" borderId="0" xfId="0" applyNumberFormat="1" applyFont="1" applyFill="1" applyAlignment="1">
      <alignment horizontal="center" vertical="center"/>
    </xf>
    <xf numFmtId="41" fontId="4" fillId="0" borderId="24" xfId="0" applyNumberFormat="1" applyFont="1" applyFill="1" applyBorder="1" applyAlignment="1">
      <alignment vertical="center"/>
    </xf>
    <xf numFmtId="41" fontId="4" fillId="0" borderId="24" xfId="0" applyNumberFormat="1" applyFont="1" applyFill="1" applyBorder="1" applyAlignment="1">
      <alignment horizontal="center" vertical="center"/>
    </xf>
    <xf numFmtId="42" fontId="4" fillId="0" borderId="24" xfId="0" applyNumberFormat="1" applyFont="1" applyFill="1" applyBorder="1" applyAlignment="1">
      <alignment horizontal="center" vertical="center"/>
    </xf>
    <xf numFmtId="41" fontId="54" fillId="0" borderId="24" xfId="0" applyNumberFormat="1" applyFont="1" applyFill="1" applyBorder="1" applyAlignment="1">
      <alignment vertical="center"/>
    </xf>
    <xf numFmtId="41" fontId="4" fillId="0" borderId="25" xfId="0" applyNumberFormat="1" applyFont="1" applyFill="1" applyBorder="1" applyAlignment="1">
      <alignment vertical="center"/>
    </xf>
    <xf numFmtId="42" fontId="4" fillId="0" borderId="25" xfId="0" applyNumberFormat="1" applyFont="1" applyFill="1" applyBorder="1" applyAlignment="1">
      <alignment vertical="center"/>
    </xf>
    <xf numFmtId="41" fontId="63" fillId="0" borderId="0" xfId="0" applyNumberFormat="1" applyFont="1" applyFill="1" applyBorder="1" applyAlignment="1">
      <alignment vertical="center"/>
    </xf>
    <xf numFmtId="0" fontId="0" fillId="0" borderId="0" xfId="0" applyFill="1" applyBorder="1" applyAlignment="1">
      <alignment vertical="center"/>
    </xf>
    <xf numFmtId="0" fontId="0" fillId="0" borderId="9" xfId="0"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167" fontId="0" fillId="0" borderId="5" xfId="6" applyNumberFormat="1" applyFont="1" applyFill="1" applyBorder="1" applyAlignment="1">
      <alignment vertical="center"/>
    </xf>
    <xf numFmtId="43" fontId="54" fillId="0" borderId="0" xfId="0" applyNumberFormat="1" applyFont="1" applyBorder="1" applyAlignment="1">
      <alignment vertical="center"/>
    </xf>
    <xf numFmtId="37" fontId="3" fillId="0" borderId="0" xfId="0" applyNumberFormat="1" applyFont="1" applyFill="1" applyBorder="1" applyAlignment="1">
      <alignment vertical="center"/>
    </xf>
    <xf numFmtId="37" fontId="3" fillId="0" borderId="0" xfId="0" applyNumberFormat="1" applyFont="1" applyBorder="1" applyAlignment="1">
      <alignment vertical="center"/>
    </xf>
    <xf numFmtId="41" fontId="55" fillId="2" borderId="0" xfId="0" applyNumberFormat="1" applyFont="1" applyFill="1" applyBorder="1" applyAlignment="1">
      <alignment vertical="center"/>
    </xf>
    <xf numFmtId="41" fontId="3" fillId="2" borderId="0" xfId="6" applyNumberFormat="1" applyFont="1" applyFill="1" applyBorder="1" applyAlignment="1">
      <alignment horizontal="right" vertical="center"/>
    </xf>
    <xf numFmtId="41" fontId="10" fillId="0" borderId="3" xfId="6" applyNumberFormat="1" applyFont="1" applyFill="1" applyBorder="1" applyAlignment="1">
      <alignment vertical="center"/>
    </xf>
    <xf numFmtId="0" fontId="3" fillId="0" borderId="3" xfId="0" applyFont="1" applyFill="1" applyBorder="1" applyAlignment="1">
      <alignment vertical="center"/>
    </xf>
    <xf numFmtId="169" fontId="10" fillId="0" borderId="3" xfId="1" applyNumberFormat="1" applyFont="1" applyFill="1" applyBorder="1" applyAlignment="1">
      <alignment vertical="center"/>
    </xf>
    <xf numFmtId="165" fontId="10" fillId="0" borderId="3" xfId="6" applyNumberFormat="1" applyFont="1" applyFill="1" applyBorder="1" applyAlignment="1">
      <alignment vertical="center"/>
    </xf>
    <xf numFmtId="0" fontId="10" fillId="0" borderId="3" xfId="0" applyFont="1" applyFill="1" applyBorder="1" applyAlignment="1">
      <alignment vertical="center"/>
    </xf>
    <xf numFmtId="41" fontId="4" fillId="0" borderId="3" xfId="6" applyNumberFormat="1" applyFont="1" applyFill="1" applyBorder="1" applyAlignment="1">
      <alignment horizontal="right" vertical="center"/>
    </xf>
    <xf numFmtId="167" fontId="4" fillId="0" borderId="3" xfId="6" applyNumberFormat="1" applyFont="1" applyFill="1" applyBorder="1" applyAlignment="1">
      <alignment horizontal="right" vertical="center"/>
    </xf>
    <xf numFmtId="41" fontId="55" fillId="5" borderId="0" xfId="6" applyNumberFormat="1" applyFont="1" applyFill="1" applyBorder="1" applyAlignment="1">
      <alignment horizontal="center" vertical="center"/>
    </xf>
    <xf numFmtId="41" fontId="10" fillId="0" borderId="7" xfId="0" applyNumberFormat="1" applyFont="1" applyFill="1" applyBorder="1" applyAlignment="1">
      <alignment horizontal="right" vertical="center"/>
    </xf>
    <xf numFmtId="0" fontId="10" fillId="0" borderId="7" xfId="0" applyFont="1" applyFill="1" applyBorder="1" applyAlignment="1">
      <alignment vertical="center"/>
    </xf>
    <xf numFmtId="41" fontId="10" fillId="0" borderId="7" xfId="6" applyNumberFormat="1" applyFont="1" applyFill="1" applyBorder="1" applyAlignment="1">
      <alignment vertical="center"/>
    </xf>
    <xf numFmtId="41" fontId="54" fillId="0" borderId="4" xfId="0" applyNumberFormat="1" applyFont="1" applyFill="1" applyBorder="1" applyAlignment="1">
      <alignment vertical="center"/>
    </xf>
    <xf numFmtId="41" fontId="54" fillId="2" borderId="9" xfId="0" applyNumberFormat="1" applyFont="1" applyFill="1" applyBorder="1" applyAlignment="1">
      <alignment vertical="center"/>
    </xf>
    <xf numFmtId="0" fontId="3" fillId="0" borderId="11" xfId="0" applyFont="1" applyBorder="1" applyAlignment="1">
      <alignment vertical="center"/>
    </xf>
    <xf numFmtId="41" fontId="0" fillId="0" borderId="9" xfId="0" applyNumberFormat="1" applyBorder="1" applyAlignment="1">
      <alignment horizontal="right" vertical="center"/>
    </xf>
    <xf numFmtId="42" fontId="4" fillId="0" borderId="8" xfId="0" applyNumberFormat="1" applyFont="1" applyBorder="1" applyAlignment="1">
      <alignment horizontal="right" vertical="center"/>
    </xf>
    <xf numFmtId="41" fontId="4" fillId="2" borderId="0" xfId="0" applyNumberFormat="1" applyFont="1" applyFill="1" applyBorder="1" applyAlignment="1">
      <alignment horizontal="right" vertical="center"/>
    </xf>
    <xf numFmtId="41" fontId="4" fillId="5" borderId="3" xfId="0" applyNumberFormat="1" applyFont="1" applyFill="1" applyBorder="1" applyAlignment="1">
      <alignment vertical="center"/>
    </xf>
    <xf numFmtId="41" fontId="4" fillId="5" borderId="7" xfId="0" applyNumberFormat="1" applyFont="1" applyFill="1" applyBorder="1" applyAlignment="1">
      <alignment horizontal="center" vertical="center"/>
    </xf>
    <xf numFmtId="41" fontId="4" fillId="5" borderId="7" xfId="0" applyNumberFormat="1" applyFont="1" applyFill="1" applyBorder="1" applyAlignment="1">
      <alignment vertical="center"/>
    </xf>
    <xf numFmtId="41" fontId="20" fillId="3" borderId="3" xfId="0" quotePrefix="1" applyNumberFormat="1" applyFont="1" applyFill="1" applyBorder="1" applyAlignment="1">
      <alignment horizontal="left" vertical="center"/>
    </xf>
    <xf numFmtId="165" fontId="79" fillId="3" borderId="5" xfId="0" applyNumberFormat="1" applyFont="1" applyFill="1" applyBorder="1" applyAlignment="1">
      <alignment vertical="center"/>
    </xf>
    <xf numFmtId="4" fontId="89" fillId="0" borderId="9" xfId="0" applyNumberFormat="1" applyFont="1" applyFill="1" applyBorder="1" applyAlignment="1">
      <alignment horizontal="center" vertical="center"/>
    </xf>
    <xf numFmtId="4" fontId="89" fillId="0" borderId="7" xfId="0" applyNumberFormat="1" applyFont="1" applyFill="1" applyBorder="1" applyAlignment="1">
      <alignment horizontal="center" vertical="center"/>
    </xf>
    <xf numFmtId="4" fontId="89" fillId="0" borderId="5" xfId="0" applyNumberFormat="1" applyFont="1" applyFill="1" applyBorder="1" applyAlignment="1">
      <alignment horizontal="center" vertical="center"/>
    </xf>
    <xf numFmtId="4" fontId="89" fillId="0" borderId="6" xfId="0" applyNumberFormat="1" applyFont="1" applyFill="1" applyBorder="1" applyAlignment="1">
      <alignment horizontal="center" vertical="center"/>
    </xf>
    <xf numFmtId="4" fontId="89" fillId="6" borderId="3" xfId="0" applyNumberFormat="1" applyFont="1" applyFill="1" applyBorder="1" applyAlignment="1">
      <alignment horizontal="center" vertical="center"/>
    </xf>
    <xf numFmtId="4" fontId="89" fillId="0" borderId="8" xfId="0" quotePrefix="1" applyNumberFormat="1" applyFont="1" applyFill="1" applyBorder="1" applyAlignment="1">
      <alignment horizontal="left" vertical="center"/>
    </xf>
    <xf numFmtId="41" fontId="54" fillId="2" borderId="0" xfId="6" applyNumberFormat="1" applyFont="1" applyFill="1" applyBorder="1" applyAlignment="1">
      <alignment vertical="center"/>
    </xf>
    <xf numFmtId="167" fontId="55" fillId="2" borderId="0" xfId="6" applyNumberFormat="1" applyFont="1" applyFill="1" applyBorder="1" applyAlignment="1">
      <alignment vertical="center"/>
    </xf>
    <xf numFmtId="0" fontId="0" fillId="0" borderId="5" xfId="0" applyFill="1" applyBorder="1" applyAlignment="1">
      <alignment vertical="center"/>
    </xf>
    <xf numFmtId="0" fontId="12" fillId="0" borderId="9" xfId="0" applyFont="1" applyFill="1" applyBorder="1" applyAlignment="1">
      <alignment vertical="center"/>
    </xf>
    <xf numFmtId="0" fontId="0" fillId="0" borderId="6" xfId="0" applyFill="1" applyBorder="1" applyAlignment="1">
      <alignment vertical="center"/>
    </xf>
    <xf numFmtId="0" fontId="0" fillId="0" borderId="8" xfId="0" applyFill="1" applyBorder="1" applyAlignment="1">
      <alignment vertical="center"/>
    </xf>
    <xf numFmtId="0" fontId="0" fillId="0" borderId="24" xfId="0" applyFill="1" applyBorder="1" applyAlignment="1">
      <alignment vertical="center"/>
    </xf>
    <xf numFmtId="0" fontId="3" fillId="0" borderId="8" xfId="0" applyFont="1" applyFill="1" applyBorder="1" applyAlignment="1">
      <alignment vertical="center"/>
    </xf>
    <xf numFmtId="0" fontId="4" fillId="0" borderId="24" xfId="0" applyFont="1" applyFill="1" applyBorder="1" applyAlignment="1">
      <alignment vertical="center"/>
    </xf>
    <xf numFmtId="0" fontId="4" fillId="0" borderId="11" xfId="0" applyFont="1" applyFill="1" applyBorder="1" applyAlignment="1">
      <alignment vertical="center"/>
    </xf>
    <xf numFmtId="41" fontId="4" fillId="0" borderId="24" xfId="0" applyNumberFormat="1" applyFont="1" applyFill="1" applyBorder="1" applyAlignment="1">
      <alignment horizontal="right" vertical="center"/>
    </xf>
    <xf numFmtId="165" fontId="4" fillId="0" borderId="24" xfId="0" applyNumberFormat="1" applyFont="1" applyFill="1" applyBorder="1" applyAlignment="1">
      <alignment horizontal="right" vertical="center"/>
    </xf>
    <xf numFmtId="41" fontId="10" fillId="0" borderId="3" xfId="6" applyNumberFormat="1" applyFont="1" applyFill="1" applyBorder="1" applyAlignment="1">
      <alignment horizontal="right" vertical="center"/>
    </xf>
    <xf numFmtId="41" fontId="55" fillId="0" borderId="3" xfId="0" applyNumberFormat="1" applyFont="1" applyBorder="1" applyAlignment="1">
      <alignment vertical="center"/>
    </xf>
    <xf numFmtId="37" fontId="10" fillId="0" borderId="3" xfId="0" applyNumberFormat="1" applyFont="1" applyBorder="1" applyAlignment="1">
      <alignment vertical="center"/>
    </xf>
    <xf numFmtId="167" fontId="10" fillId="0" borderId="7" xfId="0" applyNumberFormat="1" applyFont="1" applyFill="1" applyBorder="1" applyAlignment="1">
      <alignment vertical="center"/>
    </xf>
    <xf numFmtId="37" fontId="10" fillId="5" borderId="0" xfId="0" applyNumberFormat="1" applyFont="1" applyFill="1" applyBorder="1" applyAlignment="1">
      <alignment vertical="center"/>
    </xf>
    <xf numFmtId="41" fontId="54" fillId="0" borderId="25" xfId="0" applyNumberFormat="1" applyFont="1" applyFill="1" applyBorder="1" applyAlignment="1">
      <alignment vertical="center"/>
    </xf>
    <xf numFmtId="0" fontId="0" fillId="0" borderId="25" xfId="0" applyFill="1" applyBorder="1" applyAlignment="1">
      <alignment vertical="center"/>
    </xf>
    <xf numFmtId="37" fontId="52" fillId="3" borderId="3" xfId="0" quotePrefix="1" applyNumberFormat="1" applyFont="1" applyFill="1" applyBorder="1" applyAlignment="1">
      <alignment vertical="center"/>
    </xf>
    <xf numFmtId="0" fontId="3" fillId="2" borderId="1" xfId="0" applyFont="1" applyFill="1" applyBorder="1" applyAlignment="1">
      <alignment horizontal="center" vertical="top" wrapText="1"/>
    </xf>
    <xf numFmtId="41" fontId="3" fillId="2" borderId="13" xfId="0" applyNumberFormat="1" applyFont="1" applyFill="1" applyBorder="1" applyAlignment="1">
      <alignment horizontal="centerContinuous" vertical="center"/>
    </xf>
    <xf numFmtId="41" fontId="8" fillId="2" borderId="1" xfId="0" applyNumberFormat="1" applyFont="1" applyFill="1" applyBorder="1" applyAlignment="1">
      <alignment horizontal="center" vertical="center"/>
    </xf>
    <xf numFmtId="41" fontId="3" fillId="2" borderId="14" xfId="0" applyNumberFormat="1" applyFont="1" applyFill="1" applyBorder="1" applyAlignment="1">
      <alignment horizontal="centerContinuous" vertical="center"/>
    </xf>
    <xf numFmtId="41" fontId="3" fillId="2" borderId="15" xfId="0" applyNumberFormat="1" applyFont="1" applyFill="1" applyBorder="1" applyAlignment="1">
      <alignment horizontal="centerContinuous" vertical="center"/>
    </xf>
    <xf numFmtId="41" fontId="92" fillId="0" borderId="0" xfId="6" applyNumberFormat="1" applyFont="1" applyBorder="1" applyAlignment="1">
      <alignment horizontal="centerContinuous" vertical="center"/>
    </xf>
    <xf numFmtId="41" fontId="4" fillId="0" borderId="0" xfId="6" applyNumberFormat="1" applyFont="1" applyBorder="1" applyAlignment="1">
      <alignment horizontal="centerContinuous" vertical="center"/>
    </xf>
    <xf numFmtId="41" fontId="4" fillId="0" borderId="7" xfId="6" applyNumberFormat="1" applyFont="1" applyBorder="1" applyAlignment="1">
      <alignment vertical="center"/>
    </xf>
    <xf numFmtId="167" fontId="4" fillId="0" borderId="7" xfId="6" applyNumberFormat="1" applyFont="1" applyBorder="1" applyAlignment="1">
      <alignment vertical="center"/>
    </xf>
    <xf numFmtId="167" fontId="10" fillId="0" borderId="7" xfId="6" applyNumberFormat="1" applyFont="1" applyBorder="1" applyAlignment="1">
      <alignment vertical="center"/>
    </xf>
    <xf numFmtId="41" fontId="37" fillId="0" borderId="7" xfId="6" applyNumberFormat="1" applyFont="1" applyBorder="1" applyAlignment="1">
      <alignment vertical="center"/>
    </xf>
    <xf numFmtId="41" fontId="4" fillId="0" borderId="8" xfId="6" applyNumberFormat="1" applyFont="1" applyBorder="1" applyAlignment="1">
      <alignment vertical="center"/>
    </xf>
    <xf numFmtId="167" fontId="4" fillId="0" borderId="8" xfId="6" applyNumberFormat="1" applyFont="1" applyBorder="1" applyAlignment="1">
      <alignment vertical="center"/>
    </xf>
    <xf numFmtId="167" fontId="10" fillId="0" borderId="8" xfId="6" applyNumberFormat="1" applyFont="1" applyBorder="1" applyAlignment="1">
      <alignment vertical="center"/>
    </xf>
    <xf numFmtId="41" fontId="37" fillId="0" borderId="8" xfId="6" applyNumberFormat="1" applyFont="1" applyBorder="1" applyAlignment="1">
      <alignment vertical="center"/>
    </xf>
    <xf numFmtId="41" fontId="4" fillId="0" borderId="7" xfId="6" applyNumberFormat="1" applyFont="1" applyFill="1" applyBorder="1" applyAlignment="1">
      <alignment vertical="center"/>
    </xf>
    <xf numFmtId="174" fontId="5" fillId="0" borderId="0" xfId="0" applyNumberFormat="1" applyFont="1" applyBorder="1" applyAlignment="1">
      <alignment horizontal="center" vertical="center"/>
    </xf>
    <xf numFmtId="42" fontId="4" fillId="0" borderId="8" xfId="6" applyNumberFormat="1" applyFont="1" applyBorder="1" applyAlignment="1">
      <alignment vertical="center"/>
    </xf>
    <xf numFmtId="41" fontId="75" fillId="2" borderId="0" xfId="0" applyNumberFormat="1" applyFont="1" applyFill="1" applyBorder="1" applyAlignment="1">
      <alignment vertical="center"/>
    </xf>
    <xf numFmtId="41" fontId="72" fillId="0" borderId="0" xfId="0" applyNumberFormat="1" applyFont="1" applyBorder="1" applyAlignment="1">
      <alignment vertical="center"/>
    </xf>
    <xf numFmtId="41" fontId="64" fillId="0" borderId="0" xfId="0" applyNumberFormat="1" applyFont="1" applyBorder="1" applyAlignment="1">
      <alignment vertical="center"/>
    </xf>
    <xf numFmtId="41" fontId="52" fillId="3" borderId="7" xfId="6" applyNumberFormat="1" applyFont="1" applyFill="1" applyBorder="1" applyAlignment="1">
      <alignment vertical="center"/>
    </xf>
    <xf numFmtId="41" fontId="75" fillId="2" borderId="3" xfId="0" applyNumberFormat="1" applyFont="1" applyFill="1" applyBorder="1" applyAlignment="1">
      <alignment vertical="center"/>
    </xf>
    <xf numFmtId="41" fontId="75" fillId="2" borderId="5" xfId="0" applyNumberFormat="1" applyFont="1" applyFill="1" applyBorder="1" applyAlignment="1">
      <alignment vertical="center"/>
    </xf>
    <xf numFmtId="41" fontId="74" fillId="2" borderId="3" xfId="0" applyNumberFormat="1" applyFont="1" applyFill="1" applyBorder="1" applyAlignment="1">
      <alignment vertical="center"/>
    </xf>
    <xf numFmtId="0" fontId="74" fillId="2" borderId="3" xfId="0" applyFont="1" applyFill="1" applyBorder="1" applyAlignment="1">
      <alignment vertical="center"/>
    </xf>
    <xf numFmtId="174" fontId="10" fillId="0" borderId="26" xfId="0" applyNumberFormat="1" applyFont="1" applyFill="1" applyBorder="1" applyAlignment="1">
      <alignment horizontal="center" vertical="center"/>
    </xf>
    <xf numFmtId="41" fontId="4" fillId="2" borderId="0" xfId="6" applyNumberFormat="1" applyFont="1" applyFill="1" applyBorder="1" applyAlignment="1">
      <alignment vertical="center"/>
    </xf>
    <xf numFmtId="41" fontId="54" fillId="0" borderId="0" xfId="0" applyNumberFormat="1" applyFont="1" applyFill="1" applyBorder="1" applyAlignment="1">
      <alignment horizontal="left" vertical="center"/>
    </xf>
    <xf numFmtId="41" fontId="75" fillId="2" borderId="0" xfId="0" applyNumberFormat="1" applyFont="1" applyFill="1" applyBorder="1" applyAlignment="1">
      <alignment horizontal="left" vertical="center"/>
    </xf>
    <xf numFmtId="41" fontId="93" fillId="2" borderId="0" xfId="0" applyNumberFormat="1" applyFont="1" applyFill="1" applyBorder="1" applyAlignment="1">
      <alignment horizontal="left" vertical="center"/>
    </xf>
    <xf numFmtId="0" fontId="73" fillId="2" borderId="0" xfId="0" applyFont="1" applyFill="1" applyAlignment="1">
      <alignment horizontal="left" vertical="center"/>
    </xf>
    <xf numFmtId="41" fontId="94" fillId="2" borderId="0" xfId="0" applyNumberFormat="1" applyFont="1" applyFill="1" applyBorder="1" applyAlignment="1">
      <alignment horizontal="centerContinuous" vertical="center"/>
    </xf>
    <xf numFmtId="174" fontId="10" fillId="0" borderId="3" xfId="0" applyNumberFormat="1" applyFont="1" applyFill="1" applyBorder="1" applyAlignment="1">
      <alignment horizontal="center" vertical="center"/>
    </xf>
    <xf numFmtId="42" fontId="4" fillId="0" borderId="9" xfId="0" applyNumberFormat="1" applyFont="1" applyFill="1" applyBorder="1" applyAlignment="1">
      <alignment vertical="center"/>
    </xf>
    <xf numFmtId="174" fontId="10" fillId="2" borderId="0" xfId="0" applyNumberFormat="1" applyFont="1" applyFill="1" applyBorder="1" applyAlignment="1">
      <alignment horizontal="center" vertical="center"/>
    </xf>
    <xf numFmtId="44" fontId="4" fillId="0" borderId="9" xfId="0" applyNumberFormat="1" applyFont="1" applyFill="1" applyBorder="1" applyAlignment="1">
      <alignment vertical="center"/>
    </xf>
    <xf numFmtId="3" fontId="54" fillId="0" borderId="0" xfId="0" applyNumberFormat="1" applyFont="1" applyBorder="1" applyAlignment="1">
      <alignment vertical="center"/>
    </xf>
    <xf numFmtId="41" fontId="54" fillId="0" borderId="0" xfId="0" applyNumberFormat="1" applyFont="1" applyBorder="1" applyAlignment="1">
      <alignment horizontal="right" vertical="center"/>
    </xf>
    <xf numFmtId="0" fontId="54" fillId="0" borderId="0" xfId="0" applyFont="1"/>
    <xf numFmtId="42" fontId="54" fillId="0" borderId="7" xfId="0" applyNumberFormat="1" applyFont="1" applyBorder="1" applyAlignment="1">
      <alignment vertical="center"/>
    </xf>
    <xf numFmtId="42" fontId="54" fillId="0" borderId="7" xfId="0" applyNumberFormat="1" applyFont="1" applyBorder="1" applyAlignment="1">
      <alignment horizontal="center" vertical="center"/>
    </xf>
    <xf numFmtId="39" fontId="54" fillId="0" borderId="0" xfId="0" applyNumberFormat="1" applyFont="1" applyFill="1" applyBorder="1" applyAlignment="1">
      <alignment vertical="center"/>
    </xf>
    <xf numFmtId="41" fontId="54" fillId="0" borderId="0" xfId="0" applyNumberFormat="1" applyFont="1" applyFill="1" applyAlignment="1">
      <alignment horizontal="right" vertical="center"/>
    </xf>
    <xf numFmtId="176" fontId="59" fillId="0" borderId="0" xfId="0" applyNumberFormat="1" applyFont="1" applyBorder="1" applyAlignment="1">
      <alignment vertical="center"/>
    </xf>
    <xf numFmtId="165" fontId="54" fillId="2" borderId="0" xfId="0" applyNumberFormat="1" applyFont="1" applyFill="1" applyAlignment="1">
      <alignment vertical="center"/>
    </xf>
    <xf numFmtId="41" fontId="66" fillId="0" borderId="0" xfId="0" applyNumberFormat="1" applyFont="1" applyFill="1" applyAlignment="1">
      <alignment vertical="center"/>
    </xf>
    <xf numFmtId="176" fontId="54" fillId="0" borderId="0" xfId="0" applyNumberFormat="1" applyFont="1" applyBorder="1" applyAlignment="1">
      <alignment horizontal="center" vertical="center"/>
    </xf>
    <xf numFmtId="41" fontId="55" fillId="5" borderId="0" xfId="6" applyNumberFormat="1" applyFont="1" applyFill="1" applyBorder="1" applyAlignment="1">
      <alignment horizontal="right" vertical="center"/>
    </xf>
    <xf numFmtId="41" fontId="55" fillId="5" borderId="0" xfId="6" applyNumberFormat="1" applyFont="1" applyFill="1" applyBorder="1" applyAlignment="1">
      <alignment vertical="center"/>
    </xf>
    <xf numFmtId="42" fontId="54" fillId="0" borderId="0" xfId="6" applyNumberFormat="1" applyFont="1" applyBorder="1" applyAlignment="1">
      <alignment vertical="center"/>
    </xf>
    <xf numFmtId="41" fontId="54" fillId="0" borderId="3" xfId="6" applyNumberFormat="1" applyFont="1" applyBorder="1" applyAlignment="1">
      <alignment vertical="center"/>
    </xf>
    <xf numFmtId="42" fontId="4" fillId="0" borderId="0" xfId="6" applyNumberFormat="1" applyFont="1" applyFill="1" applyBorder="1" applyAlignment="1">
      <alignment vertical="center"/>
    </xf>
    <xf numFmtId="43" fontId="54" fillId="0" borderId="0" xfId="0" applyNumberFormat="1" applyFont="1" applyFill="1" applyBorder="1" applyAlignment="1">
      <alignment vertical="center"/>
    </xf>
    <xf numFmtId="168" fontId="54" fillId="0" borderId="0" xfId="0" applyNumberFormat="1" applyFont="1" applyFill="1" applyBorder="1" applyAlignment="1">
      <alignment vertical="center"/>
    </xf>
    <xf numFmtId="181" fontId="54" fillId="0" borderId="3" xfId="0" applyNumberFormat="1" applyFont="1" applyFill="1" applyBorder="1" applyAlignment="1">
      <alignment vertical="center"/>
    </xf>
    <xf numFmtId="43" fontId="95" fillId="0" borderId="0" xfId="0" applyNumberFormat="1" applyFont="1" applyFill="1" applyBorder="1" applyAlignment="1">
      <alignment wrapText="1"/>
    </xf>
    <xf numFmtId="43" fontId="59" fillId="0" borderId="7" xfId="0" applyNumberFormat="1" applyFont="1" applyFill="1" applyBorder="1" applyAlignment="1">
      <alignment vertical="center"/>
    </xf>
    <xf numFmtId="174" fontId="10" fillId="0" borderId="0" xfId="0" applyNumberFormat="1" applyFont="1" applyFill="1" applyBorder="1" applyAlignment="1">
      <alignment horizontal="center" vertical="center"/>
    </xf>
    <xf numFmtId="0" fontId="62" fillId="2" borderId="0" xfId="0" applyFont="1" applyFill="1" applyBorder="1" applyAlignment="1">
      <alignment horizontal="left" vertical="center"/>
    </xf>
    <xf numFmtId="41" fontId="76" fillId="0" borderId="5" xfId="0" applyNumberFormat="1" applyFont="1" applyBorder="1" applyAlignment="1">
      <alignment vertical="center"/>
    </xf>
    <xf numFmtId="41" fontId="67" fillId="0" borderId="0" xfId="0" quotePrefix="1" applyNumberFormat="1" applyFont="1" applyBorder="1" applyAlignment="1">
      <alignment horizontal="center" vertical="center"/>
    </xf>
    <xf numFmtId="41" fontId="67" fillId="0" borderId="3" xfId="0" applyNumberFormat="1" applyFont="1" applyBorder="1" applyAlignment="1">
      <alignment horizontal="center" vertical="center"/>
    </xf>
    <xf numFmtId="41" fontId="67" fillId="0" borderId="3" xfId="0" quotePrefix="1" applyNumberFormat="1" applyFont="1" applyBorder="1" applyAlignment="1">
      <alignment horizontal="center" vertical="center"/>
    </xf>
    <xf numFmtId="174" fontId="72" fillId="0" borderId="6" xfId="0" applyNumberFormat="1" applyFont="1" applyBorder="1" applyAlignment="1">
      <alignment horizontal="centerContinuous" vertical="center"/>
    </xf>
    <xf numFmtId="174" fontId="72" fillId="0" borderId="27" xfId="0" applyNumberFormat="1" applyFont="1" applyBorder="1" applyAlignment="1">
      <alignment horizontal="centerContinuous" vertical="center"/>
    </xf>
    <xf numFmtId="174" fontId="48" fillId="0" borderId="28" xfId="0" quotePrefix="1" applyNumberFormat="1" applyFont="1" applyBorder="1" applyAlignment="1">
      <alignment horizontal="centerContinuous" vertical="center"/>
    </xf>
    <xf numFmtId="41" fontId="72" fillId="0" borderId="27" xfId="0" applyNumberFormat="1" applyFont="1" applyBorder="1" applyAlignment="1">
      <alignment horizontal="centerContinuous" vertical="center"/>
    </xf>
    <xf numFmtId="174" fontId="68" fillId="3" borderId="28" xfId="0" quotePrefix="1" applyNumberFormat="1" applyFont="1" applyFill="1" applyBorder="1" applyAlignment="1">
      <alignment horizontal="centerContinuous" vertical="center"/>
    </xf>
    <xf numFmtId="174" fontId="48" fillId="0" borderId="28" xfId="0" quotePrefix="1" applyNumberFormat="1" applyFont="1" applyFill="1" applyBorder="1" applyAlignment="1">
      <alignment horizontal="centerContinuous" vertical="center"/>
    </xf>
    <xf numFmtId="167" fontId="52" fillId="3" borderId="7" xfId="6" applyNumberFormat="1" applyFont="1" applyFill="1" applyBorder="1" applyAlignment="1">
      <alignment vertical="center"/>
    </xf>
    <xf numFmtId="41" fontId="92" fillId="0" borderId="3" xfId="6" applyNumberFormat="1" applyFont="1" applyBorder="1" applyAlignment="1">
      <alignment horizontal="centerContinuous" vertical="center"/>
    </xf>
    <xf numFmtId="41" fontId="4" fillId="0" borderId="3" xfId="6" applyNumberFormat="1" applyFont="1" applyBorder="1" applyAlignment="1">
      <alignment horizontal="centerContinuous" vertical="center"/>
    </xf>
    <xf numFmtId="174" fontId="5" fillId="0" borderId="7" xfId="0" applyNumberFormat="1" applyFont="1" applyBorder="1" applyAlignment="1">
      <alignment horizontal="center" vertical="center"/>
    </xf>
    <xf numFmtId="41" fontId="52" fillId="3" borderId="3" xfId="6" applyNumberFormat="1" applyFont="1" applyFill="1" applyBorder="1" applyAlignment="1">
      <alignment vertical="center"/>
    </xf>
    <xf numFmtId="41" fontId="77" fillId="3" borderId="7" xfId="6" applyNumberFormat="1" applyFont="1" applyFill="1" applyBorder="1" applyAlignment="1">
      <alignment vertical="center"/>
    </xf>
    <xf numFmtId="41" fontId="77" fillId="3" borderId="3" xfId="6" applyNumberFormat="1" applyFont="1" applyFill="1" applyBorder="1" applyAlignment="1">
      <alignment vertical="center"/>
    </xf>
    <xf numFmtId="167" fontId="56" fillId="3" borderId="7" xfId="6" applyNumberFormat="1" applyFont="1" applyFill="1" applyBorder="1" applyAlignment="1">
      <alignment vertical="center"/>
    </xf>
    <xf numFmtId="174" fontId="5" fillId="0" borderId="0" xfId="0" applyNumberFormat="1" applyFont="1" applyFill="1" applyBorder="1" applyAlignment="1">
      <alignment horizontal="center" vertical="center"/>
    </xf>
    <xf numFmtId="174" fontId="5" fillId="0" borderId="7" xfId="0" applyNumberFormat="1" applyFont="1" applyFill="1" applyBorder="1" applyAlignment="1">
      <alignment horizontal="center" vertical="center"/>
    </xf>
    <xf numFmtId="1" fontId="4" fillId="0" borderId="3" xfId="6" applyNumberFormat="1" applyFont="1" applyFill="1" applyBorder="1" applyAlignment="1">
      <alignment vertical="center"/>
    </xf>
    <xf numFmtId="42" fontId="4" fillId="0" borderId="3" xfId="6" applyNumberFormat="1" applyFont="1" applyFill="1" applyBorder="1" applyAlignment="1">
      <alignment vertical="center"/>
    </xf>
    <xf numFmtId="41" fontId="4" fillId="0" borderId="5" xfId="6" applyNumberFormat="1" applyFont="1" applyFill="1" applyBorder="1" applyAlignment="1">
      <alignment vertical="center"/>
    </xf>
    <xf numFmtId="42" fontId="4" fillId="0" borderId="8" xfId="6" applyNumberFormat="1" applyFont="1" applyFill="1" applyBorder="1" applyAlignment="1">
      <alignment vertical="center"/>
    </xf>
    <xf numFmtId="167" fontId="4" fillId="0" borderId="8" xfId="6" applyNumberFormat="1" applyFont="1" applyFill="1" applyBorder="1" applyAlignment="1">
      <alignment vertical="center"/>
    </xf>
    <xf numFmtId="3" fontId="20" fillId="0" borderId="8" xfId="6" quotePrefix="1" applyNumberFormat="1" applyFont="1" applyFill="1" applyBorder="1" applyAlignment="1">
      <alignment vertical="center"/>
    </xf>
    <xf numFmtId="41" fontId="4" fillId="0" borderId="3" xfId="6" applyNumberFormat="1" applyFont="1" applyFill="1" applyBorder="1" applyAlignment="1">
      <alignment vertical="center"/>
    </xf>
    <xf numFmtId="41" fontId="4" fillId="0" borderId="8" xfId="6" applyNumberFormat="1" applyFont="1" applyFill="1" applyBorder="1" applyAlignment="1">
      <alignment vertical="center"/>
    </xf>
    <xf numFmtId="37" fontId="4" fillId="0" borderId="3" xfId="6" applyNumberFormat="1" applyFont="1" applyFill="1" applyBorder="1" applyAlignment="1">
      <alignment horizontal="left" vertical="center"/>
    </xf>
    <xf numFmtId="42" fontId="20" fillId="0" borderId="3" xfId="6" applyNumberFormat="1" applyFont="1" applyFill="1" applyBorder="1" applyAlignment="1">
      <alignment horizontal="center" vertical="center"/>
    </xf>
    <xf numFmtId="41" fontId="20" fillId="0" borderId="5" xfId="6" applyNumberFormat="1" applyFont="1" applyFill="1" applyBorder="1" applyAlignment="1">
      <alignment horizontal="center" vertical="center"/>
    </xf>
    <xf numFmtId="42" fontId="20" fillId="0" borderId="8" xfId="6" quotePrefix="1" applyNumberFormat="1" applyFont="1" applyFill="1" applyBorder="1" applyAlignment="1">
      <alignment horizontal="center" vertical="center"/>
    </xf>
    <xf numFmtId="42" fontId="4" fillId="0" borderId="5" xfId="6" applyNumberFormat="1" applyFont="1" applyFill="1" applyBorder="1" applyAlignment="1">
      <alignment vertical="center"/>
    </xf>
    <xf numFmtId="167" fontId="56" fillId="3" borderId="3" xfId="6" applyNumberFormat="1" applyFont="1" applyFill="1" applyBorder="1" applyAlignment="1">
      <alignment vertical="center"/>
    </xf>
    <xf numFmtId="174" fontId="13" fillId="0" borderId="0" xfId="0" applyNumberFormat="1" applyFont="1" applyBorder="1" applyAlignment="1">
      <alignment horizontal="center" vertical="center"/>
    </xf>
    <xf numFmtId="41" fontId="37" fillId="0" borderId="0" xfId="6" applyNumberFormat="1" applyFont="1" applyBorder="1" applyAlignment="1">
      <alignment vertical="center"/>
    </xf>
    <xf numFmtId="42" fontId="54" fillId="0" borderId="7" xfId="6" applyNumberFormat="1" applyFont="1" applyFill="1" applyBorder="1" applyAlignment="1">
      <alignment vertical="center"/>
    </xf>
    <xf numFmtId="41" fontId="54" fillId="0" borderId="7" xfId="6" applyNumberFormat="1" applyFont="1" applyFill="1" applyBorder="1" applyAlignment="1">
      <alignment vertical="center"/>
    </xf>
    <xf numFmtId="41" fontId="54" fillId="0" borderId="3" xfId="6" applyNumberFormat="1" applyFont="1" applyFill="1" applyBorder="1" applyAlignment="1">
      <alignment vertical="center"/>
    </xf>
    <xf numFmtId="37" fontId="54" fillId="0" borderId="3" xfId="0" applyNumberFormat="1" applyFont="1" applyBorder="1" applyAlignment="1">
      <alignment vertical="center"/>
    </xf>
    <xf numFmtId="37" fontId="55" fillId="0" borderId="7" xfId="0" applyNumberFormat="1" applyFont="1" applyBorder="1" applyAlignment="1">
      <alignment vertical="center"/>
    </xf>
    <xf numFmtId="1" fontId="54" fillId="0" borderId="3" xfId="6" applyNumberFormat="1" applyFont="1" applyFill="1" applyBorder="1" applyAlignment="1">
      <alignment vertical="center"/>
    </xf>
    <xf numFmtId="3" fontId="65" fillId="0" borderId="3" xfId="6" applyNumberFormat="1" applyFont="1" applyFill="1" applyBorder="1" applyAlignment="1">
      <alignment vertical="center"/>
    </xf>
    <xf numFmtId="3" fontId="65" fillId="0" borderId="5" xfId="6" applyNumberFormat="1" applyFont="1" applyFill="1" applyBorder="1" applyAlignment="1">
      <alignment vertical="center"/>
    </xf>
    <xf numFmtId="42" fontId="54" fillId="0" borderId="3" xfId="6" applyNumberFormat="1" applyFont="1" applyFill="1" applyBorder="1" applyAlignment="1">
      <alignment vertical="center"/>
    </xf>
    <xf numFmtId="41" fontId="54" fillId="0" borderId="5" xfId="6" applyNumberFormat="1" applyFont="1" applyFill="1" applyBorder="1" applyAlignment="1">
      <alignment vertical="center"/>
    </xf>
    <xf numFmtId="42" fontId="54" fillId="0" borderId="8" xfId="6" applyNumberFormat="1" applyFont="1" applyFill="1" applyBorder="1" applyAlignment="1">
      <alignment vertical="center"/>
    </xf>
    <xf numFmtId="41" fontId="17" fillId="0" borderId="0" xfId="6" applyNumberFormat="1" applyFont="1" applyBorder="1" applyAlignment="1">
      <alignment horizontal="center" vertical="center"/>
    </xf>
    <xf numFmtId="41" fontId="54" fillId="8" borderId="0" xfId="0" applyNumberFormat="1" applyFont="1" applyFill="1" applyBorder="1" applyAlignment="1">
      <alignment vertical="center"/>
    </xf>
    <xf numFmtId="179" fontId="4" fillId="9" borderId="0" xfId="0" applyNumberFormat="1" applyFont="1" applyFill="1" applyBorder="1" applyAlignment="1">
      <alignment vertical="center"/>
    </xf>
    <xf numFmtId="41" fontId="4" fillId="9" borderId="0" xfId="0" applyNumberFormat="1" applyFont="1" applyFill="1" applyBorder="1" applyAlignment="1">
      <alignment vertical="center"/>
    </xf>
    <xf numFmtId="41" fontId="54" fillId="9" borderId="0" xfId="0" applyNumberFormat="1" applyFont="1" applyFill="1" applyBorder="1" applyAlignment="1">
      <alignment vertical="center"/>
    </xf>
    <xf numFmtId="37" fontId="4" fillId="9" borderId="0" xfId="0" applyNumberFormat="1" applyFont="1" applyFill="1" applyBorder="1" applyAlignment="1">
      <alignment vertical="center"/>
    </xf>
    <xf numFmtId="169" fontId="4" fillId="10" borderId="0" xfId="0" applyNumberFormat="1" applyFont="1" applyFill="1" applyBorder="1" applyAlignment="1">
      <alignment vertical="center"/>
    </xf>
    <xf numFmtId="165" fontId="4" fillId="10" borderId="0" xfId="0" applyNumberFormat="1" applyFont="1" applyFill="1" applyBorder="1" applyAlignment="1">
      <alignment vertical="center"/>
    </xf>
    <xf numFmtId="41" fontId="54" fillId="10" borderId="0" xfId="0" applyNumberFormat="1" applyFont="1" applyFill="1" applyBorder="1" applyAlignment="1">
      <alignment vertical="center"/>
    </xf>
    <xf numFmtId="41" fontId="4" fillId="10" borderId="0" xfId="0" applyNumberFormat="1" applyFont="1" applyFill="1" applyBorder="1" applyAlignment="1">
      <alignment vertical="center"/>
    </xf>
    <xf numFmtId="37" fontId="4" fillId="10" borderId="10" xfId="0" applyNumberFormat="1" applyFont="1" applyFill="1" applyBorder="1" applyAlignment="1">
      <alignment vertical="center"/>
    </xf>
    <xf numFmtId="169" fontId="4" fillId="10" borderId="10" xfId="0" applyNumberFormat="1" applyFont="1" applyFill="1" applyBorder="1" applyAlignment="1">
      <alignment vertical="center"/>
    </xf>
    <xf numFmtId="165" fontId="4" fillId="10" borderId="10" xfId="0" applyNumberFormat="1" applyFont="1" applyFill="1" applyBorder="1" applyAlignment="1">
      <alignment vertical="center"/>
    </xf>
    <xf numFmtId="41" fontId="54" fillId="10" borderId="10" xfId="0" applyNumberFormat="1" applyFont="1" applyFill="1" applyBorder="1" applyAlignment="1">
      <alignment vertical="center"/>
    </xf>
    <xf numFmtId="41" fontId="4" fillId="10" borderId="10" xfId="0" applyNumberFormat="1" applyFont="1" applyFill="1" applyBorder="1" applyAlignment="1">
      <alignment vertical="center"/>
    </xf>
    <xf numFmtId="169" fontId="4" fillId="10" borderId="8" xfId="0" applyNumberFormat="1" applyFont="1" applyFill="1" applyBorder="1" applyAlignment="1">
      <alignment vertical="center"/>
    </xf>
    <xf numFmtId="41" fontId="54" fillId="10" borderId="8" xfId="0" applyNumberFormat="1" applyFont="1" applyFill="1" applyBorder="1" applyAlignment="1">
      <alignment vertical="center"/>
    </xf>
    <xf numFmtId="41" fontId="4" fillId="10" borderId="8" xfId="0" applyNumberFormat="1" applyFont="1" applyFill="1" applyBorder="1" applyAlignment="1">
      <alignment vertical="center"/>
    </xf>
    <xf numFmtId="0" fontId="4" fillId="10" borderId="0" xfId="0" applyFont="1" applyFill="1" applyBorder="1" applyAlignment="1">
      <alignment vertical="center"/>
    </xf>
    <xf numFmtId="170" fontId="54" fillId="0" borderId="0" xfId="0" applyNumberFormat="1" applyFont="1" applyFill="1" applyBorder="1" applyAlignment="1">
      <alignment vertical="center"/>
    </xf>
    <xf numFmtId="41" fontId="111" fillId="0" borderId="0" xfId="0" applyNumberFormat="1" applyFont="1" applyFill="1" applyBorder="1" applyAlignment="1">
      <alignment vertical="center"/>
    </xf>
    <xf numFmtId="1" fontId="111" fillId="0" borderId="0" xfId="0" applyNumberFormat="1" applyFont="1" applyFill="1" applyBorder="1" applyAlignment="1">
      <alignment vertical="center"/>
    </xf>
    <xf numFmtId="41" fontId="112" fillId="0" borderId="0" xfId="0" applyNumberFormat="1" applyFont="1" applyBorder="1" applyAlignment="1">
      <alignment vertical="center"/>
    </xf>
    <xf numFmtId="41" fontId="21" fillId="0" borderId="0" xfId="0" applyNumberFormat="1" applyFont="1" applyBorder="1" applyAlignment="1">
      <alignment vertical="center"/>
    </xf>
    <xf numFmtId="41" fontId="4" fillId="10" borderId="8" xfId="0" applyNumberFormat="1" applyFont="1" applyFill="1" applyBorder="1" applyAlignment="1">
      <alignment vertical="center"/>
    </xf>
    <xf numFmtId="41" fontId="111" fillId="0" borderId="3" xfId="0" applyNumberFormat="1" applyFont="1" applyBorder="1" applyAlignment="1">
      <alignment vertical="center"/>
    </xf>
    <xf numFmtId="41" fontId="111" fillId="0" borderId="7" xfId="0" applyNumberFormat="1" applyFont="1" applyBorder="1" applyAlignment="1">
      <alignment vertical="center"/>
    </xf>
    <xf numFmtId="41" fontId="111" fillId="0" borderId="9" xfId="0" applyNumberFormat="1" applyFont="1" applyBorder="1" applyAlignment="1">
      <alignment vertical="center"/>
    </xf>
    <xf numFmtId="41" fontId="111" fillId="0" borderId="5" xfId="0" applyNumberFormat="1" applyFont="1" applyBorder="1" applyAlignment="1">
      <alignment vertical="center"/>
    </xf>
    <xf numFmtId="41" fontId="111" fillId="0" borderId="6" xfId="0" applyNumberFormat="1" applyFont="1" applyBorder="1" applyAlignment="1">
      <alignment vertical="center"/>
    </xf>
    <xf numFmtId="41" fontId="111" fillId="0" borderId="8" xfId="0" applyNumberFormat="1" applyFont="1" applyBorder="1" applyAlignment="1">
      <alignment vertical="center"/>
    </xf>
    <xf numFmtId="41" fontId="111" fillId="0" borderId="0" xfId="0" applyNumberFormat="1" applyFont="1" applyBorder="1" applyAlignment="1">
      <alignment vertical="center"/>
    </xf>
    <xf numFmtId="41" fontId="5" fillId="0" borderId="0" xfId="0" applyNumberFormat="1" applyFont="1" applyFill="1" applyBorder="1" applyAlignment="1">
      <alignment horizontal="centerContinuous" vertical="center"/>
    </xf>
    <xf numFmtId="0" fontId="4" fillId="0" borderId="0" xfId="0" applyFont="1" applyFill="1" applyBorder="1" applyAlignment="1">
      <alignment horizontal="centerContinuous" vertical="center"/>
    </xf>
    <xf numFmtId="41" fontId="6" fillId="0" borderId="0" xfId="0" applyNumberFormat="1" applyFont="1" applyBorder="1" applyAlignment="1">
      <alignment vertical="center"/>
    </xf>
    <xf numFmtId="42" fontId="52" fillId="11" borderId="3" xfId="0" applyNumberFormat="1" applyFont="1" applyFill="1" applyBorder="1" applyAlignment="1">
      <alignment vertical="center"/>
    </xf>
    <xf numFmtId="41" fontId="52" fillId="11" borderId="3" xfId="0" applyNumberFormat="1" applyFont="1" applyFill="1" applyBorder="1" applyAlignment="1">
      <alignment vertical="center"/>
    </xf>
    <xf numFmtId="168" fontId="58" fillId="11" borderId="7" xfId="0" applyNumberFormat="1" applyFont="1" applyFill="1" applyBorder="1" applyAlignment="1">
      <alignment horizontal="center" vertical="center"/>
    </xf>
    <xf numFmtId="42" fontId="52" fillId="11" borderId="7" xfId="0" applyNumberFormat="1" applyFont="1" applyFill="1" applyBorder="1" applyAlignment="1">
      <alignment vertical="center"/>
    </xf>
    <xf numFmtId="167" fontId="52" fillId="11" borderId="3" xfId="6" applyNumberFormat="1" applyFont="1" applyFill="1" applyBorder="1" applyAlignment="1">
      <alignment vertical="center"/>
    </xf>
    <xf numFmtId="164" fontId="52" fillId="11" borderId="3" xfId="0" applyNumberFormat="1" applyFont="1" applyFill="1" applyBorder="1" applyAlignment="1">
      <alignment horizontal="right" vertical="center"/>
    </xf>
    <xf numFmtId="43" fontId="52" fillId="11" borderId="3" xfId="0" applyNumberFormat="1" applyFont="1" applyFill="1" applyBorder="1" applyAlignment="1">
      <alignment vertical="center"/>
    </xf>
    <xf numFmtId="41" fontId="52" fillId="11" borderId="7" xfId="6" applyNumberFormat="1" applyFont="1" applyFill="1" applyBorder="1" applyAlignment="1">
      <alignment vertical="center"/>
    </xf>
    <xf numFmtId="41" fontId="52" fillId="11" borderId="3" xfId="6" applyNumberFormat="1" applyFont="1" applyFill="1" applyBorder="1" applyAlignment="1">
      <alignment vertical="center"/>
    </xf>
    <xf numFmtId="41" fontId="52" fillId="11" borderId="0" xfId="6" applyNumberFormat="1" applyFont="1" applyFill="1" applyBorder="1" applyAlignment="1">
      <alignment vertical="center"/>
    </xf>
    <xf numFmtId="41" fontId="113" fillId="2" borderId="0" xfId="0" applyNumberFormat="1" applyFont="1" applyFill="1" applyAlignment="1">
      <alignment vertical="center"/>
    </xf>
    <xf numFmtId="41" fontId="113" fillId="2" borderId="0" xfId="0" applyNumberFormat="1" applyFont="1" applyFill="1" applyBorder="1" applyAlignment="1">
      <alignment vertical="center"/>
    </xf>
    <xf numFmtId="37" fontId="113" fillId="2" borderId="0" xfId="0" applyNumberFormat="1" applyFont="1" applyFill="1" applyAlignment="1">
      <alignment vertical="center"/>
    </xf>
    <xf numFmtId="41" fontId="114" fillId="2" borderId="0" xfId="0" applyNumberFormat="1" applyFont="1" applyFill="1" applyBorder="1" applyAlignment="1">
      <alignment vertical="center"/>
    </xf>
    <xf numFmtId="41" fontId="115" fillId="2" borderId="0" xfId="0" applyNumberFormat="1" applyFont="1" applyFill="1" applyBorder="1" applyAlignment="1">
      <alignment vertical="center"/>
    </xf>
    <xf numFmtId="41" fontId="116" fillId="0" borderId="0" xfId="0" applyNumberFormat="1" applyFont="1" applyFill="1" applyBorder="1" applyAlignment="1">
      <alignment vertical="center"/>
    </xf>
    <xf numFmtId="41" fontId="116" fillId="0" borderId="0" xfId="0" applyNumberFormat="1" applyFont="1" applyAlignment="1">
      <alignment vertical="center"/>
    </xf>
    <xf numFmtId="41" fontId="113" fillId="12" borderId="0" xfId="0" applyNumberFormat="1" applyFont="1" applyFill="1" applyBorder="1" applyAlignment="1">
      <alignment vertical="center"/>
    </xf>
    <xf numFmtId="41" fontId="111" fillId="12" borderId="0" xfId="0" applyNumberFormat="1" applyFont="1" applyFill="1" applyBorder="1" applyAlignment="1">
      <alignment vertical="center"/>
    </xf>
    <xf numFmtId="41" fontId="113" fillId="12" borderId="3" xfId="0" applyNumberFormat="1" applyFont="1" applyFill="1" applyBorder="1" applyAlignment="1">
      <alignment vertical="center"/>
    </xf>
    <xf numFmtId="41" fontId="4" fillId="12" borderId="3" xfId="0" applyNumberFormat="1" applyFont="1" applyFill="1" applyBorder="1" applyAlignment="1">
      <alignment vertical="center"/>
    </xf>
    <xf numFmtId="41" fontId="111" fillId="12" borderId="3" xfId="0" applyNumberFormat="1" applyFont="1" applyFill="1" applyBorder="1" applyAlignment="1">
      <alignment vertical="center"/>
    </xf>
    <xf numFmtId="41" fontId="111" fillId="0" borderId="11" xfId="0" applyNumberFormat="1" applyFont="1" applyBorder="1" applyAlignment="1">
      <alignment vertical="center"/>
    </xf>
    <xf numFmtId="41" fontId="117" fillId="0" borderId="3" xfId="0" applyNumberFormat="1" applyFont="1" applyBorder="1" applyAlignment="1">
      <alignment vertical="center"/>
    </xf>
    <xf numFmtId="41" fontId="118" fillId="0" borderId="3" xfId="0" applyNumberFormat="1" applyFont="1" applyBorder="1" applyAlignment="1">
      <alignment vertical="center"/>
    </xf>
    <xf numFmtId="41" fontId="111" fillId="0" borderId="10" xfId="0" applyNumberFormat="1" applyFont="1" applyBorder="1" applyAlignment="1">
      <alignment vertical="center"/>
    </xf>
    <xf numFmtId="41" fontId="111" fillId="0" borderId="3" xfId="0" applyNumberFormat="1" applyFont="1" applyFill="1" applyBorder="1" applyAlignment="1">
      <alignment vertical="center"/>
    </xf>
    <xf numFmtId="37" fontId="111" fillId="0" borderId="0" xfId="0" applyNumberFormat="1" applyFont="1" applyBorder="1" applyAlignment="1">
      <alignment vertical="center"/>
    </xf>
    <xf numFmtId="42" fontId="111" fillId="0" borderId="0" xfId="0" applyNumberFormat="1" applyFont="1" applyBorder="1" applyAlignment="1">
      <alignment vertical="center"/>
    </xf>
    <xf numFmtId="37" fontId="111" fillId="0" borderId="5" xfId="0" applyNumberFormat="1" applyFont="1" applyBorder="1" applyAlignment="1">
      <alignment vertical="center"/>
    </xf>
    <xf numFmtId="42" fontId="111" fillId="0" borderId="5" xfId="0" applyNumberFormat="1" applyFont="1" applyBorder="1" applyAlignment="1">
      <alignment vertical="center"/>
    </xf>
    <xf numFmtId="41" fontId="4" fillId="10" borderId="3" xfId="0" applyNumberFormat="1" applyFont="1" applyFill="1" applyBorder="1" applyAlignment="1">
      <alignment vertical="center"/>
    </xf>
    <xf numFmtId="41" fontId="111" fillId="0" borderId="9" xfId="0" applyNumberFormat="1" applyFont="1" applyFill="1" applyBorder="1" applyAlignment="1">
      <alignment vertical="center"/>
    </xf>
    <xf numFmtId="41" fontId="111" fillId="0" borderId="5" xfId="0" applyNumberFormat="1" applyFont="1" applyFill="1" applyBorder="1" applyAlignment="1">
      <alignment vertical="center"/>
    </xf>
    <xf numFmtId="41" fontId="111" fillId="0" borderId="7" xfId="0" applyNumberFormat="1" applyFont="1" applyFill="1" applyBorder="1" applyAlignment="1">
      <alignment vertical="center"/>
    </xf>
    <xf numFmtId="41" fontId="111" fillId="0" borderId="8" xfId="0" applyNumberFormat="1" applyFont="1" applyFill="1" applyBorder="1" applyAlignment="1">
      <alignment vertical="center"/>
    </xf>
    <xf numFmtId="41" fontId="3" fillId="0" borderId="7" xfId="0" applyNumberFormat="1" applyFont="1" applyFill="1" applyBorder="1" applyAlignment="1">
      <alignment vertical="center"/>
    </xf>
    <xf numFmtId="41" fontId="111" fillId="0" borderId="6" xfId="0" applyNumberFormat="1" applyFont="1" applyFill="1" applyBorder="1" applyAlignment="1">
      <alignment vertical="center"/>
    </xf>
    <xf numFmtId="41" fontId="111" fillId="0" borderId="11" xfId="0" applyNumberFormat="1" applyFont="1" applyFill="1" applyBorder="1" applyAlignment="1">
      <alignment vertical="center"/>
    </xf>
    <xf numFmtId="41" fontId="111" fillId="0" borderId="7" xfId="6" applyNumberFormat="1" applyFont="1" applyBorder="1" applyAlignment="1">
      <alignment vertical="center"/>
    </xf>
    <xf numFmtId="167" fontId="119" fillId="11" borderId="7" xfId="6" applyNumberFormat="1" applyFont="1" applyFill="1" applyBorder="1" applyAlignment="1">
      <alignment vertical="center"/>
    </xf>
    <xf numFmtId="41" fontId="120" fillId="0" borderId="7" xfId="6" applyNumberFormat="1" applyFont="1" applyBorder="1" applyAlignment="1">
      <alignment horizontal="right" vertical="center"/>
    </xf>
    <xf numFmtId="41" fontId="121" fillId="0" borderId="5" xfId="0" applyNumberFormat="1" applyFont="1" applyFill="1" applyBorder="1" applyAlignment="1">
      <alignment vertical="center"/>
    </xf>
    <xf numFmtId="41" fontId="7" fillId="0" borderId="0" xfId="0" applyNumberFormat="1" applyFont="1" applyBorder="1" applyAlignment="1">
      <alignment vertical="center"/>
    </xf>
    <xf numFmtId="41" fontId="119" fillId="11" borderId="3" xfId="0" applyNumberFormat="1" applyFont="1" applyFill="1" applyBorder="1" applyAlignment="1">
      <alignment vertical="center"/>
    </xf>
    <xf numFmtId="41" fontId="119" fillId="11" borderId="9" xfId="0" applyNumberFormat="1" applyFont="1" applyFill="1" applyBorder="1" applyAlignment="1">
      <alignment vertical="center"/>
    </xf>
    <xf numFmtId="164" fontId="119" fillId="11" borderId="3" xfId="0" applyNumberFormat="1" applyFont="1" applyFill="1" applyBorder="1" applyAlignment="1">
      <alignment vertical="center"/>
    </xf>
    <xf numFmtId="41" fontId="119" fillId="11" borderId="5" xfId="0" applyNumberFormat="1" applyFont="1" applyFill="1" applyBorder="1" applyAlignment="1">
      <alignment vertical="center"/>
    </xf>
    <xf numFmtId="169" fontId="4" fillId="0" borderId="3" xfId="0" applyNumberFormat="1" applyFont="1" applyBorder="1" applyAlignment="1">
      <alignment vertical="center"/>
    </xf>
    <xf numFmtId="44" fontId="4" fillId="0" borderId="3" xfId="0" applyNumberFormat="1" applyFont="1" applyBorder="1" applyAlignment="1">
      <alignment vertical="center"/>
    </xf>
    <xf numFmtId="44" fontId="119" fillId="11" borderId="3" xfId="0" applyNumberFormat="1" applyFont="1" applyFill="1" applyBorder="1" applyAlignment="1">
      <alignment vertical="center"/>
    </xf>
    <xf numFmtId="167" fontId="119" fillId="11" borderId="3" xfId="0" applyNumberFormat="1" applyFont="1" applyFill="1" applyBorder="1" applyAlignment="1">
      <alignment vertical="center"/>
    </xf>
    <xf numFmtId="41" fontId="120" fillId="13" borderId="9" xfId="0" applyNumberFormat="1" applyFont="1" applyFill="1" applyBorder="1" applyAlignment="1">
      <alignment horizontal="right" vertical="center"/>
    </xf>
    <xf numFmtId="41" fontId="120" fillId="13" borderId="11" xfId="0" applyNumberFormat="1" applyFont="1" applyFill="1" applyBorder="1" applyAlignment="1">
      <alignment vertical="center"/>
    </xf>
    <xf numFmtId="41" fontId="120" fillId="13" borderId="5" xfId="0" applyNumberFormat="1" applyFont="1" applyFill="1" applyBorder="1" applyAlignment="1">
      <alignment horizontal="right" vertical="center"/>
    </xf>
    <xf numFmtId="42" fontId="120" fillId="13" borderId="8" xfId="0" applyNumberFormat="1" applyFont="1" applyFill="1" applyBorder="1" applyAlignment="1">
      <alignment vertical="center"/>
    </xf>
    <xf numFmtId="42" fontId="111" fillId="0" borderId="3" xfId="0" applyNumberFormat="1" applyFont="1" applyBorder="1" applyAlignment="1">
      <alignment vertical="center"/>
    </xf>
    <xf numFmtId="42" fontId="111" fillId="0" borderId="8" xfId="0" applyNumberFormat="1" applyFont="1" applyBorder="1" applyAlignment="1">
      <alignment vertical="center"/>
    </xf>
    <xf numFmtId="41" fontId="3" fillId="0" borderId="7" xfId="0" applyNumberFormat="1" applyFont="1" applyBorder="1" applyAlignment="1">
      <alignment horizontal="center" vertical="center"/>
    </xf>
    <xf numFmtId="164" fontId="4" fillId="0" borderId="8" xfId="0" applyNumberFormat="1" applyFont="1" applyBorder="1" applyAlignment="1">
      <alignment vertical="center"/>
    </xf>
    <xf numFmtId="42" fontId="4" fillId="0" borderId="0" xfId="0" applyNumberFormat="1" applyFont="1" applyFill="1" applyBorder="1" applyAlignment="1">
      <alignment horizontal="right" vertical="center"/>
    </xf>
    <xf numFmtId="42" fontId="119" fillId="11" borderId="3" xfId="6" applyNumberFormat="1" applyFont="1" applyFill="1" applyBorder="1" applyAlignment="1">
      <alignment vertical="center"/>
    </xf>
    <xf numFmtId="164" fontId="4" fillId="0" borderId="3" xfId="0" applyNumberFormat="1" applyFont="1" applyFill="1" applyBorder="1" applyAlignment="1">
      <alignment vertical="center"/>
    </xf>
    <xf numFmtId="43" fontId="119" fillId="11" borderId="3" xfId="0" applyNumberFormat="1" applyFont="1" applyFill="1" applyBorder="1" applyAlignment="1">
      <alignment vertical="center"/>
    </xf>
    <xf numFmtId="3" fontId="4" fillId="0" borderId="0" xfId="0" applyNumberFormat="1" applyFont="1" applyBorder="1" applyAlignment="1">
      <alignment vertical="center"/>
    </xf>
    <xf numFmtId="41" fontId="11" fillId="0" borderId="0" xfId="0" applyNumberFormat="1" applyFont="1" applyBorder="1" applyAlignment="1">
      <alignment vertical="center"/>
    </xf>
    <xf numFmtId="41" fontId="11" fillId="0" borderId="0" xfId="0" applyNumberFormat="1" applyFont="1" applyFill="1" applyBorder="1" applyAlignment="1">
      <alignment vertical="center"/>
    </xf>
    <xf numFmtId="41" fontId="119" fillId="11" borderId="0" xfId="0" applyNumberFormat="1" applyFont="1" applyFill="1" applyBorder="1" applyAlignment="1">
      <alignment vertical="center"/>
    </xf>
    <xf numFmtId="41" fontId="11" fillId="0" borderId="0" xfId="0" applyNumberFormat="1" applyFont="1" applyBorder="1" applyAlignment="1">
      <alignment horizontal="right" vertical="center"/>
    </xf>
    <xf numFmtId="4" fontId="119" fillId="11" borderId="3" xfId="0" applyNumberFormat="1" applyFont="1" applyFill="1" applyBorder="1" applyAlignment="1">
      <alignment vertical="center"/>
    </xf>
    <xf numFmtId="4" fontId="119" fillId="11" borderId="5" xfId="0" applyNumberFormat="1" applyFont="1" applyFill="1" applyBorder="1" applyAlignment="1">
      <alignment vertical="center"/>
    </xf>
    <xf numFmtId="4" fontId="119" fillId="11" borderId="9" xfId="0" applyNumberFormat="1" applyFont="1" applyFill="1" applyBorder="1" applyAlignment="1">
      <alignment vertical="center"/>
    </xf>
    <xf numFmtId="41" fontId="119" fillId="11" borderId="3" xfId="0" applyNumberFormat="1" applyFont="1" applyFill="1" applyBorder="1" applyAlignment="1">
      <alignment horizontal="center" vertical="center"/>
    </xf>
    <xf numFmtId="41" fontId="119" fillId="11" borderId="5" xfId="0" applyNumberFormat="1" applyFont="1" applyFill="1" applyBorder="1" applyAlignment="1">
      <alignment horizontal="center" vertical="center"/>
    </xf>
    <xf numFmtId="41" fontId="119" fillId="11" borderId="9" xfId="0" applyNumberFormat="1" applyFont="1" applyFill="1" applyBorder="1" applyAlignment="1">
      <alignment horizontal="center" vertical="center"/>
    </xf>
    <xf numFmtId="9" fontId="7" fillId="0" borderId="3" xfId="6" applyFont="1" applyBorder="1" applyAlignment="1">
      <alignment vertical="center"/>
    </xf>
    <xf numFmtId="41" fontId="111" fillId="0" borderId="0" xfId="6" applyNumberFormat="1" applyFont="1" applyBorder="1" applyAlignment="1">
      <alignment vertical="center"/>
    </xf>
    <xf numFmtId="41" fontId="4" fillId="0" borderId="4" xfId="0" applyNumberFormat="1" applyFont="1" applyBorder="1" applyAlignment="1">
      <alignment vertical="center"/>
    </xf>
    <xf numFmtId="3" fontId="4" fillId="0" borderId="0" xfId="0" applyNumberFormat="1" applyFont="1" applyFill="1" applyBorder="1" applyAlignment="1">
      <alignment vertical="center"/>
    </xf>
    <xf numFmtId="41" fontId="111" fillId="0" borderId="0" xfId="0" applyNumberFormat="1" applyFont="1" applyAlignment="1">
      <alignment vertical="center"/>
    </xf>
    <xf numFmtId="165" fontId="111" fillId="0" borderId="0" xfId="0" applyNumberFormat="1" applyFont="1" applyAlignment="1">
      <alignment vertical="center"/>
    </xf>
    <xf numFmtId="164" fontId="111" fillId="0" borderId="0" xfId="6" applyNumberFormat="1" applyFont="1" applyBorder="1" applyAlignment="1">
      <alignment vertical="center"/>
    </xf>
    <xf numFmtId="165" fontId="111" fillId="2" borderId="0" xfId="0" applyNumberFormat="1" applyFont="1" applyFill="1" applyAlignment="1">
      <alignment vertical="center"/>
    </xf>
    <xf numFmtId="164" fontId="111" fillId="2" borderId="0" xfId="6" applyNumberFormat="1" applyFont="1" applyFill="1" applyBorder="1" applyAlignment="1">
      <alignment vertical="center"/>
    </xf>
    <xf numFmtId="41" fontId="111" fillId="2" borderId="0" xfId="6" applyNumberFormat="1" applyFont="1" applyFill="1" applyBorder="1" applyAlignment="1">
      <alignment vertical="center"/>
    </xf>
    <xf numFmtId="41" fontId="111" fillId="2" borderId="0" xfId="0" applyNumberFormat="1" applyFont="1" applyFill="1" applyBorder="1" applyAlignment="1">
      <alignment vertical="center"/>
    </xf>
    <xf numFmtId="42" fontId="111" fillId="0" borderId="0" xfId="6" applyNumberFormat="1" applyFont="1" applyFill="1" applyBorder="1" applyAlignment="1">
      <alignment vertical="center"/>
    </xf>
    <xf numFmtId="42" fontId="111" fillId="0" borderId="0" xfId="6" applyNumberFormat="1" applyFont="1" applyBorder="1" applyAlignment="1">
      <alignment vertical="center"/>
    </xf>
    <xf numFmtId="41" fontId="118" fillId="0" borderId="3" xfId="6" applyNumberFormat="1" applyFont="1" applyBorder="1" applyAlignment="1">
      <alignment vertical="center"/>
    </xf>
    <xf numFmtId="41" fontId="111" fillId="0" borderId="3" xfId="6" applyNumberFormat="1" applyFont="1" applyBorder="1" applyAlignment="1">
      <alignment vertical="center"/>
    </xf>
    <xf numFmtId="164" fontId="111" fillId="0" borderId="3" xfId="6" applyNumberFormat="1" applyFont="1" applyBorder="1" applyAlignment="1">
      <alignment vertical="center"/>
    </xf>
    <xf numFmtId="42" fontId="111" fillId="0" borderId="7" xfId="0" applyNumberFormat="1" applyFont="1" applyBorder="1" applyAlignment="1">
      <alignment vertical="center"/>
    </xf>
    <xf numFmtId="41" fontId="117" fillId="0" borderId="3" xfId="6" applyNumberFormat="1" applyFont="1" applyBorder="1" applyAlignment="1">
      <alignment vertical="center"/>
    </xf>
    <xf numFmtId="41" fontId="111" fillId="0" borderId="5" xfId="6" applyNumberFormat="1" applyFont="1" applyBorder="1" applyAlignment="1">
      <alignment vertical="center"/>
    </xf>
    <xf numFmtId="41" fontId="111" fillId="0" borderId="0" xfId="6" applyNumberFormat="1" applyFont="1" applyFill="1" applyBorder="1" applyAlignment="1">
      <alignment vertical="center"/>
    </xf>
    <xf numFmtId="41" fontId="121" fillId="0" borderId="0" xfId="0" applyNumberFormat="1" applyFont="1" applyFill="1" applyAlignment="1">
      <alignment vertical="center"/>
    </xf>
    <xf numFmtId="41" fontId="111" fillId="0" borderId="0" xfId="0" applyNumberFormat="1" applyFont="1" applyFill="1" applyAlignment="1">
      <alignment vertical="center"/>
    </xf>
    <xf numFmtId="164" fontId="111" fillId="0" borderId="0" xfId="6" applyNumberFormat="1" applyFont="1" applyFill="1" applyBorder="1" applyAlignment="1">
      <alignment vertical="center"/>
    </xf>
    <xf numFmtId="42" fontId="111" fillId="0" borderId="0" xfId="0" applyNumberFormat="1" applyFont="1" applyFill="1" applyBorder="1" applyAlignment="1">
      <alignment vertical="center"/>
    </xf>
    <xf numFmtId="3" fontId="111" fillId="0" borderId="3" xfId="0" applyNumberFormat="1" applyFont="1" applyFill="1" applyBorder="1" applyAlignment="1">
      <alignment vertical="center"/>
    </xf>
    <xf numFmtId="41" fontId="111" fillId="0" borderId="3" xfId="6" applyNumberFormat="1" applyFont="1" applyFill="1" applyBorder="1" applyAlignment="1">
      <alignment vertical="center"/>
    </xf>
    <xf numFmtId="0" fontId="111" fillId="0" borderId="0" xfId="0" applyFont="1" applyBorder="1" applyAlignment="1">
      <alignment vertical="center"/>
    </xf>
    <xf numFmtId="42" fontId="111" fillId="0" borderId="8" xfId="0" applyNumberFormat="1" applyFont="1" applyFill="1" applyBorder="1" applyAlignment="1">
      <alignment vertical="center"/>
    </xf>
    <xf numFmtId="42" fontId="111" fillId="0" borderId="8" xfId="6" applyNumberFormat="1" applyFont="1" applyFill="1" applyBorder="1" applyAlignment="1">
      <alignment vertical="center"/>
    </xf>
    <xf numFmtId="178" fontId="117" fillId="0" borderId="0" xfId="6" applyNumberFormat="1" applyFont="1" applyFill="1" applyBorder="1" applyAlignment="1">
      <alignment vertical="center"/>
    </xf>
    <xf numFmtId="41" fontId="117" fillId="0" borderId="0" xfId="0" applyNumberFormat="1" applyFont="1" applyFill="1" applyBorder="1" applyAlignment="1">
      <alignment vertical="center"/>
    </xf>
    <xf numFmtId="178" fontId="117" fillId="0" borderId="5" xfId="0" applyNumberFormat="1" applyFont="1" applyFill="1" applyBorder="1" applyAlignment="1">
      <alignment vertical="center"/>
    </xf>
    <xf numFmtId="9" fontId="117" fillId="0" borderId="5" xfId="6" applyFont="1" applyFill="1" applyBorder="1" applyAlignment="1">
      <alignment vertical="center"/>
    </xf>
    <xf numFmtId="41" fontId="117" fillId="0" borderId="5" xfId="6" applyNumberFormat="1" applyFont="1" applyFill="1" applyBorder="1" applyAlignment="1">
      <alignment vertical="center"/>
    </xf>
    <xf numFmtId="178" fontId="117" fillId="0" borderId="5" xfId="6" applyNumberFormat="1" applyFont="1" applyFill="1" applyBorder="1" applyAlignment="1">
      <alignment vertical="center"/>
    </xf>
    <xf numFmtId="41" fontId="117" fillId="0" borderId="5" xfId="0" applyNumberFormat="1" applyFont="1" applyFill="1" applyBorder="1" applyAlignment="1">
      <alignment vertical="center"/>
    </xf>
    <xf numFmtId="41" fontId="117" fillId="0" borderId="0" xfId="0" applyNumberFormat="1" applyFont="1" applyBorder="1" applyAlignment="1">
      <alignment vertical="center"/>
    </xf>
    <xf numFmtId="9" fontId="117" fillId="0" borderId="0" xfId="6" applyFont="1" applyBorder="1" applyAlignment="1">
      <alignment vertical="center"/>
    </xf>
    <xf numFmtId="41" fontId="117" fillId="0" borderId="0" xfId="6" applyNumberFormat="1" applyFont="1" applyBorder="1" applyAlignment="1">
      <alignment vertical="center"/>
    </xf>
    <xf numFmtId="3" fontId="111" fillId="0" borderId="3" xfId="6" applyNumberFormat="1" applyFont="1" applyFill="1" applyBorder="1" applyAlignment="1">
      <alignment vertical="center"/>
    </xf>
    <xf numFmtId="41" fontId="111" fillId="0" borderId="7" xfId="0" applyNumberFormat="1" applyFont="1" applyBorder="1" applyAlignment="1">
      <alignment horizontal="left" vertical="center"/>
    </xf>
    <xf numFmtId="41" fontId="10" fillId="2" borderId="0" xfId="0" applyNumberFormat="1" applyFont="1" applyFill="1" applyAlignment="1">
      <alignment vertical="center"/>
    </xf>
    <xf numFmtId="41" fontId="4" fillId="0" borderId="4" xfId="6" applyNumberFormat="1" applyFont="1" applyFill="1" applyBorder="1" applyAlignment="1">
      <alignment vertical="center"/>
    </xf>
    <xf numFmtId="41" fontId="119" fillId="3" borderId="3" xfId="0" applyNumberFormat="1" applyFont="1" applyFill="1" applyBorder="1" applyAlignment="1">
      <alignment vertical="center"/>
    </xf>
    <xf numFmtId="41" fontId="119" fillId="3" borderId="3" xfId="6" applyNumberFormat="1" applyFont="1" applyFill="1" applyBorder="1" applyAlignment="1">
      <alignment vertical="center"/>
    </xf>
    <xf numFmtId="41" fontId="119" fillId="3" borderId="0" xfId="6" applyNumberFormat="1" applyFont="1" applyFill="1" applyBorder="1" applyAlignment="1">
      <alignment vertical="center"/>
    </xf>
    <xf numFmtId="41" fontId="119" fillId="3" borderId="0" xfId="0" applyNumberFormat="1" applyFont="1" applyFill="1" applyBorder="1" applyAlignment="1">
      <alignment vertical="center"/>
    </xf>
    <xf numFmtId="41" fontId="20" fillId="14" borderId="0" xfId="0" applyNumberFormat="1" applyFont="1" applyFill="1" applyBorder="1" applyAlignment="1">
      <alignment horizontal="centerContinuous" vertical="center"/>
    </xf>
    <xf numFmtId="41" fontId="7" fillId="10" borderId="3" xfId="0" applyNumberFormat="1" applyFont="1" applyFill="1" applyBorder="1" applyAlignment="1">
      <alignment vertical="center"/>
    </xf>
    <xf numFmtId="41" fontId="117" fillId="10" borderId="3" xfId="0" applyNumberFormat="1" applyFont="1" applyFill="1" applyBorder="1" applyAlignment="1">
      <alignment vertical="center"/>
    </xf>
    <xf numFmtId="41" fontId="4" fillId="10" borderId="3" xfId="6" applyNumberFormat="1" applyFont="1" applyFill="1" applyBorder="1" applyAlignment="1">
      <alignment vertical="center"/>
    </xf>
    <xf numFmtId="41" fontId="4" fillId="10" borderId="7" xfId="0" applyNumberFormat="1" applyFont="1" applyFill="1" applyBorder="1" applyAlignment="1">
      <alignment vertical="center"/>
    </xf>
    <xf numFmtId="41" fontId="111" fillId="10" borderId="7" xfId="0" applyNumberFormat="1" applyFont="1" applyFill="1" applyBorder="1" applyAlignment="1">
      <alignment vertical="center"/>
    </xf>
    <xf numFmtId="41" fontId="111" fillId="10" borderId="7" xfId="6" applyNumberFormat="1" applyFont="1" applyFill="1" applyBorder="1" applyAlignment="1">
      <alignment vertical="center"/>
    </xf>
    <xf numFmtId="41" fontId="111" fillId="10" borderId="3" xfId="0" applyNumberFormat="1" applyFont="1" applyFill="1" applyBorder="1" applyAlignment="1">
      <alignment vertical="center"/>
    </xf>
    <xf numFmtId="41" fontId="111" fillId="10" borderId="3" xfId="6" applyNumberFormat="1" applyFont="1" applyFill="1" applyBorder="1" applyAlignment="1">
      <alignment vertical="center"/>
    </xf>
    <xf numFmtId="41" fontId="117" fillId="10" borderId="3" xfId="6" applyNumberFormat="1" applyFont="1" applyFill="1" applyBorder="1" applyAlignment="1">
      <alignment vertical="center"/>
    </xf>
    <xf numFmtId="42" fontId="4" fillId="0" borderId="0" xfId="0" applyNumberFormat="1" applyFont="1" applyFill="1" applyAlignment="1">
      <alignment vertical="center"/>
    </xf>
    <xf numFmtId="164" fontId="3" fillId="0" borderId="8" xfId="0" applyNumberFormat="1" applyFont="1" applyFill="1" applyBorder="1" applyAlignment="1">
      <alignment vertical="center"/>
    </xf>
    <xf numFmtId="164" fontId="118" fillId="0" borderId="0" xfId="6" applyNumberFormat="1" applyFont="1" applyFill="1" applyBorder="1" applyAlignment="1">
      <alignment vertical="center"/>
    </xf>
    <xf numFmtId="41" fontId="118" fillId="0" borderId="0" xfId="0" applyNumberFormat="1" applyFont="1" applyFill="1" applyBorder="1" applyAlignment="1">
      <alignment vertical="center"/>
    </xf>
    <xf numFmtId="41" fontId="118" fillId="0" borderId="0" xfId="6" applyNumberFormat="1" applyFont="1" applyFill="1" applyBorder="1" applyAlignment="1">
      <alignment vertical="center"/>
    </xf>
    <xf numFmtId="164" fontId="3" fillId="0" borderId="24" xfId="0" applyNumberFormat="1" applyFont="1" applyFill="1" applyBorder="1" applyAlignment="1">
      <alignment vertical="center"/>
    </xf>
    <xf numFmtId="164" fontId="3" fillId="0" borderId="24" xfId="0" quotePrefix="1" applyNumberFormat="1" applyFont="1" applyFill="1" applyBorder="1" applyAlignment="1">
      <alignment vertical="center"/>
    </xf>
    <xf numFmtId="164" fontId="111" fillId="10" borderId="3" xfId="6" applyNumberFormat="1" applyFont="1" applyFill="1" applyBorder="1" applyAlignment="1">
      <alignment vertical="center"/>
    </xf>
    <xf numFmtId="41" fontId="3" fillId="0" borderId="3" xfId="0" applyNumberFormat="1" applyFont="1" applyBorder="1" applyAlignment="1">
      <alignment horizontal="right" vertical="center"/>
    </xf>
    <xf numFmtId="41" fontId="5" fillId="0" borderId="3" xfId="0" applyNumberFormat="1" applyFont="1" applyBorder="1" applyAlignment="1">
      <alignment horizontal="right" vertical="center"/>
    </xf>
    <xf numFmtId="41" fontId="17" fillId="0" borderId="3" xfId="0" applyNumberFormat="1" applyFont="1" applyBorder="1" applyAlignment="1">
      <alignment vertical="center"/>
    </xf>
    <xf numFmtId="41" fontId="49" fillId="0" borderId="3" xfId="0" applyNumberFormat="1" applyFont="1" applyBorder="1" applyAlignment="1">
      <alignment horizontal="right" vertical="center"/>
    </xf>
    <xf numFmtId="166" fontId="10" fillId="0" borderId="7" xfId="0" quotePrefix="1" applyNumberFormat="1" applyFont="1" applyFill="1" applyBorder="1" applyAlignment="1">
      <alignment vertical="center"/>
    </xf>
    <xf numFmtId="166" fontId="10" fillId="0" borderId="0" xfId="0" quotePrefix="1" applyNumberFormat="1" applyFont="1" applyFill="1" applyBorder="1" applyAlignment="1">
      <alignment vertical="center"/>
    </xf>
    <xf numFmtId="166" fontId="10" fillId="0" borderId="3" xfId="0" quotePrefix="1" applyNumberFormat="1" applyFont="1" applyFill="1" applyBorder="1" applyAlignment="1">
      <alignment vertical="center"/>
    </xf>
    <xf numFmtId="166" fontId="10" fillId="0" borderId="3" xfId="0" applyNumberFormat="1" applyFont="1" applyFill="1" applyBorder="1" applyAlignment="1">
      <alignment vertical="center"/>
    </xf>
    <xf numFmtId="166" fontId="10" fillId="0" borderId="5" xfId="0" applyNumberFormat="1" applyFont="1" applyFill="1" applyBorder="1" applyAlignment="1">
      <alignment horizontal="right" vertical="center"/>
    </xf>
    <xf numFmtId="41" fontId="4" fillId="10" borderId="5" xfId="0" applyNumberFormat="1" applyFont="1" applyFill="1" applyBorder="1" applyAlignment="1">
      <alignment vertical="center"/>
    </xf>
    <xf numFmtId="41" fontId="4" fillId="10" borderId="8" xfId="6" applyNumberFormat="1" applyFont="1" applyFill="1" applyBorder="1" applyAlignment="1">
      <alignment vertical="center"/>
    </xf>
    <xf numFmtId="169" fontId="10" fillId="0" borderId="7" xfId="6" applyNumberFormat="1" applyFont="1" applyFill="1" applyBorder="1" applyAlignment="1">
      <alignment vertical="center"/>
    </xf>
    <xf numFmtId="165" fontId="4" fillId="0" borderId="1" xfId="0" applyNumberFormat="1" applyFont="1" applyBorder="1" applyAlignment="1">
      <alignment vertical="center"/>
    </xf>
    <xf numFmtId="3" fontId="4" fillId="2" borderId="1" xfId="0" applyNumberFormat="1" applyFont="1" applyFill="1" applyBorder="1" applyAlignment="1">
      <alignment vertical="center"/>
    </xf>
    <xf numFmtId="3" fontId="3" fillId="2" borderId="13" xfId="0" applyNumberFormat="1" applyFont="1" applyFill="1" applyBorder="1" applyAlignment="1">
      <alignment horizontal="centerContinuous" vertical="center"/>
    </xf>
    <xf numFmtId="3" fontId="10" fillId="8" borderId="0" xfId="0" applyNumberFormat="1" applyFont="1" applyFill="1" applyBorder="1" applyAlignment="1">
      <alignment vertical="center"/>
    </xf>
    <xf numFmtId="41" fontId="119" fillId="0" borderId="3" xfId="0" applyNumberFormat="1" applyFont="1" applyFill="1" applyBorder="1" applyAlignment="1">
      <alignment vertical="center"/>
    </xf>
    <xf numFmtId="41" fontId="119" fillId="15" borderId="3" xfId="0" applyNumberFormat="1" applyFont="1" applyFill="1" applyBorder="1" applyAlignment="1">
      <alignment vertical="center"/>
    </xf>
    <xf numFmtId="9" fontId="119" fillId="15" borderId="3" xfId="0" applyNumberFormat="1" applyFont="1" applyFill="1" applyBorder="1" applyAlignment="1">
      <alignment vertical="center"/>
    </xf>
    <xf numFmtId="41" fontId="10" fillId="12" borderId="3" xfId="0" applyNumberFormat="1" applyFont="1" applyFill="1" applyBorder="1" applyAlignment="1">
      <alignment vertical="center"/>
    </xf>
    <xf numFmtId="41" fontId="5" fillId="0" borderId="3" xfId="0" applyNumberFormat="1" applyFont="1" applyFill="1" applyBorder="1" applyAlignment="1"/>
    <xf numFmtId="41" fontId="5" fillId="0" borderId="3" xfId="0" applyNumberFormat="1" applyFont="1" applyFill="1" applyBorder="1" applyAlignment="1">
      <alignment horizontal="center" wrapText="1"/>
    </xf>
    <xf numFmtId="9" fontId="4" fillId="0" borderId="8" xfId="0" applyNumberFormat="1" applyFont="1" applyFill="1" applyBorder="1" applyAlignment="1">
      <alignment vertical="center"/>
    </xf>
    <xf numFmtId="174" fontId="4" fillId="0" borderId="3" xfId="0" applyNumberFormat="1" applyFont="1" applyFill="1" applyBorder="1" applyAlignment="1">
      <alignment horizontal="center" vertical="center"/>
    </xf>
    <xf numFmtId="41" fontId="119" fillId="0" borderId="7" xfId="0" applyNumberFormat="1" applyFont="1" applyFill="1" applyBorder="1" applyAlignment="1">
      <alignment vertical="center"/>
    </xf>
    <xf numFmtId="41" fontId="111" fillId="0" borderId="0" xfId="0" applyNumberFormat="1" applyFont="1" applyBorder="1" applyAlignment="1">
      <alignment vertical="center"/>
    </xf>
    <xf numFmtId="41" fontId="111" fillId="0" borderId="0" xfId="0" applyNumberFormat="1" applyFont="1" applyAlignment="1">
      <alignment vertical="center"/>
    </xf>
    <xf numFmtId="3" fontId="37" fillId="0" borderId="0" xfId="0" applyNumberFormat="1" applyFont="1" applyBorder="1" applyAlignment="1">
      <alignment vertical="center"/>
    </xf>
    <xf numFmtId="41" fontId="122" fillId="2" borderId="0" xfId="0" applyNumberFormat="1" applyFont="1" applyFill="1" applyBorder="1" applyAlignment="1">
      <alignment vertical="center"/>
    </xf>
    <xf numFmtId="0" fontId="123" fillId="2" borderId="0" xfId="0" applyFont="1" applyFill="1" applyBorder="1" applyAlignment="1">
      <alignment vertical="center"/>
    </xf>
    <xf numFmtId="3" fontId="123" fillId="2" borderId="0" xfId="0" applyNumberFormat="1" applyFont="1" applyFill="1" applyBorder="1" applyAlignment="1">
      <alignment vertical="center"/>
    </xf>
    <xf numFmtId="41" fontId="123" fillId="2" borderId="0" xfId="0" applyNumberFormat="1" applyFont="1" applyFill="1" applyBorder="1" applyAlignment="1">
      <alignment vertical="center"/>
    </xf>
    <xf numFmtId="44" fontId="4" fillId="0" borderId="1" xfId="0" applyNumberFormat="1" applyFont="1" applyFill="1" applyBorder="1" applyAlignment="1">
      <alignment vertical="center"/>
    </xf>
    <xf numFmtId="41" fontId="4" fillId="0" borderId="9" xfId="3" applyNumberFormat="1" applyFont="1" applyFill="1" applyBorder="1" applyAlignment="1">
      <alignment vertical="center"/>
    </xf>
    <xf numFmtId="44" fontId="4" fillId="0" borderId="7" xfId="0" applyNumberFormat="1" applyFont="1" applyFill="1" applyBorder="1" applyAlignment="1">
      <alignment vertical="center"/>
    </xf>
    <xf numFmtId="43" fontId="119" fillId="11" borderId="9" xfId="0" applyNumberFormat="1" applyFont="1" applyFill="1" applyBorder="1" applyAlignment="1">
      <alignment vertical="center"/>
    </xf>
    <xf numFmtId="44" fontId="52" fillId="12" borderId="3" xfId="3" applyFont="1" applyFill="1" applyBorder="1" applyAlignment="1">
      <alignment vertical="center"/>
    </xf>
    <xf numFmtId="44" fontId="52" fillId="3" borderId="3" xfId="3" applyNumberFormat="1" applyFont="1" applyFill="1" applyBorder="1" applyAlignment="1">
      <alignment vertical="center"/>
    </xf>
    <xf numFmtId="44" fontId="119" fillId="11" borderId="3" xfId="3" applyNumberFormat="1" applyFont="1" applyFill="1" applyBorder="1" applyAlignment="1">
      <alignment vertical="center"/>
    </xf>
    <xf numFmtId="41" fontId="119" fillId="11" borderId="7" xfId="0" applyNumberFormat="1" applyFont="1" applyFill="1" applyBorder="1" applyAlignment="1">
      <alignment vertical="center"/>
    </xf>
    <xf numFmtId="180" fontId="4" fillId="0" borderId="1" xfId="0" applyNumberFormat="1" applyFont="1" applyFill="1" applyBorder="1" applyAlignment="1">
      <alignment vertical="center"/>
    </xf>
    <xf numFmtId="41" fontId="4" fillId="0" borderId="7" xfId="3" applyNumberFormat="1" applyFont="1" applyFill="1" applyBorder="1" applyAlignment="1">
      <alignment vertical="center"/>
    </xf>
    <xf numFmtId="44" fontId="52" fillId="11" borderId="9" xfId="3" applyFont="1" applyFill="1" applyBorder="1" applyAlignment="1">
      <alignment vertical="center"/>
    </xf>
    <xf numFmtId="44" fontId="52" fillId="3" borderId="9" xfId="3" applyFont="1" applyFill="1" applyBorder="1" applyAlignment="1">
      <alignment vertical="center"/>
    </xf>
    <xf numFmtId="43" fontId="3" fillId="0" borderId="7" xfId="0" quotePrefix="1" applyNumberFormat="1" applyFont="1" applyFill="1" applyBorder="1" applyAlignment="1">
      <alignment horizontal="center" vertical="center"/>
    </xf>
    <xf numFmtId="181" fontId="3" fillId="0" borderId="7" xfId="0" applyNumberFormat="1" applyFont="1" applyFill="1" applyBorder="1" applyAlignment="1">
      <alignment vertical="center"/>
    </xf>
    <xf numFmtId="43" fontId="75" fillId="2" borderId="0" xfId="0" applyNumberFormat="1" applyFont="1" applyFill="1" applyBorder="1" applyAlignment="1">
      <alignment horizontal="left" vertical="center"/>
    </xf>
    <xf numFmtId="43" fontId="74" fillId="2" borderId="0" xfId="0" applyNumberFormat="1" applyFont="1" applyFill="1" applyBorder="1" applyAlignment="1">
      <alignment vertical="center"/>
    </xf>
    <xf numFmtId="168" fontId="74" fillId="2" borderId="0" xfId="0" applyNumberFormat="1" applyFont="1" applyFill="1" applyBorder="1" applyAlignment="1">
      <alignment vertical="center"/>
    </xf>
    <xf numFmtId="175" fontId="4" fillId="2" borderId="7" xfId="0" applyNumberFormat="1" applyFont="1" applyFill="1" applyBorder="1" applyAlignment="1">
      <alignment vertical="center"/>
    </xf>
    <xf numFmtId="37" fontId="4" fillId="2" borderId="7" xfId="0" applyNumberFormat="1" applyFont="1" applyFill="1" applyBorder="1" applyAlignment="1">
      <alignment vertical="center"/>
    </xf>
    <xf numFmtId="42" fontId="7" fillId="0" borderId="0" xfId="0" applyNumberFormat="1" applyFont="1" applyFill="1" applyBorder="1" applyAlignment="1">
      <alignment vertical="center"/>
    </xf>
    <xf numFmtId="42" fontId="7" fillId="0" borderId="3" xfId="0" applyNumberFormat="1" applyFont="1" applyFill="1" applyBorder="1" applyAlignment="1">
      <alignment vertical="center"/>
    </xf>
    <xf numFmtId="41" fontId="7" fillId="0" borderId="7" xfId="0" applyNumberFormat="1" applyFont="1" applyFill="1" applyBorder="1" applyAlignment="1">
      <alignment vertical="center"/>
    </xf>
    <xf numFmtId="42" fontId="85" fillId="0" borderId="0" xfId="0" applyNumberFormat="1" applyFont="1" applyFill="1" applyBorder="1" applyAlignment="1">
      <alignment horizontal="center" vertical="center"/>
    </xf>
    <xf numFmtId="42" fontId="107" fillId="0" borderId="0" xfId="0" applyNumberFormat="1" applyFont="1" applyFill="1" applyBorder="1" applyAlignment="1">
      <alignment horizontal="center" vertical="center"/>
    </xf>
    <xf numFmtId="42" fontId="7" fillId="0" borderId="6" xfId="0" applyNumberFormat="1" applyFont="1" applyFill="1" applyBorder="1" applyAlignment="1">
      <alignment vertical="center"/>
    </xf>
    <xf numFmtId="167" fontId="7" fillId="0" borderId="6" xfId="7" applyNumberFormat="1" applyFont="1" applyFill="1" applyBorder="1" applyAlignment="1">
      <alignment horizontal="right" vertical="center"/>
    </xf>
    <xf numFmtId="41" fontId="7" fillId="0" borderId="8" xfId="0" applyNumberFormat="1" applyFont="1" applyBorder="1" applyAlignment="1">
      <alignment vertical="center"/>
    </xf>
    <xf numFmtId="41" fontId="122" fillId="12" borderId="0" xfId="0" applyNumberFormat="1" applyFont="1" applyFill="1" applyBorder="1" applyAlignment="1">
      <alignment vertical="center"/>
    </xf>
    <xf numFmtId="41" fontId="4" fillId="0" borderId="0" xfId="0" applyNumberFormat="1" applyFont="1" applyFill="1" applyBorder="1" applyAlignment="1">
      <alignment horizontal="right" vertical="center"/>
    </xf>
    <xf numFmtId="41" fontId="119" fillId="0" borderId="3" xfId="0" applyNumberFormat="1" applyFont="1" applyFill="1" applyBorder="1" applyAlignment="1">
      <alignment horizontal="right" vertical="center"/>
    </xf>
    <xf numFmtId="41" fontId="119" fillId="0" borderId="5" xfId="0" applyNumberFormat="1" applyFont="1" applyFill="1" applyBorder="1" applyAlignment="1">
      <alignment horizontal="right" vertical="center"/>
    </xf>
    <xf numFmtId="41" fontId="119" fillId="11" borderId="3" xfId="0" applyNumberFormat="1" applyFont="1" applyFill="1" applyBorder="1" applyAlignment="1">
      <alignment horizontal="right" vertical="center"/>
    </xf>
    <xf numFmtId="41" fontId="119" fillId="11" borderId="5" xfId="0" applyNumberFormat="1" applyFont="1" applyFill="1" applyBorder="1" applyAlignment="1">
      <alignment horizontal="right" vertical="center"/>
    </xf>
    <xf numFmtId="41" fontId="4" fillId="0" borderId="8" xfId="0" applyNumberFormat="1" applyFont="1" applyBorder="1" applyAlignment="1">
      <alignment horizontal="right" vertical="center"/>
    </xf>
    <xf numFmtId="37" fontId="4" fillId="10" borderId="7" xfId="0" applyNumberFormat="1" applyFont="1" applyFill="1" applyBorder="1" applyAlignment="1">
      <alignment vertical="center"/>
    </xf>
    <xf numFmtId="37" fontId="4" fillId="10" borderId="0" xfId="0" applyNumberFormat="1" applyFont="1" applyFill="1" applyBorder="1" applyAlignment="1">
      <alignment vertical="center"/>
    </xf>
    <xf numFmtId="41" fontId="111" fillId="0" borderId="0" xfId="0" applyNumberFormat="1" applyFont="1" applyFill="1" applyBorder="1" applyAlignment="1">
      <alignment horizontal="right" vertical="center"/>
    </xf>
    <xf numFmtId="42" fontId="111" fillId="0" borderId="0" xfId="0" applyNumberFormat="1" applyFont="1" applyFill="1" applyBorder="1" applyAlignment="1">
      <alignment horizontal="right" vertical="center"/>
    </xf>
    <xf numFmtId="42" fontId="111" fillId="0" borderId="3" xfId="0" applyNumberFormat="1" applyFont="1" applyFill="1" applyBorder="1" applyAlignment="1">
      <alignment vertical="center"/>
    </xf>
    <xf numFmtId="42" fontId="111" fillId="0" borderId="3" xfId="0" applyNumberFormat="1" applyFont="1" applyFill="1" applyBorder="1" applyAlignment="1">
      <alignment horizontal="right" vertical="center"/>
    </xf>
    <xf numFmtId="41" fontId="111" fillId="0" borderId="3" xfId="0" applyNumberFormat="1" applyFont="1" applyFill="1" applyBorder="1" applyAlignment="1">
      <alignment horizontal="right" vertical="center"/>
    </xf>
    <xf numFmtId="42" fontId="111" fillId="0" borderId="5" xfId="0" applyNumberFormat="1" applyFont="1" applyFill="1" applyBorder="1" applyAlignment="1">
      <alignment vertical="center"/>
    </xf>
    <xf numFmtId="42" fontId="111" fillId="0" borderId="5" xfId="0" applyNumberFormat="1" applyFont="1" applyFill="1" applyBorder="1" applyAlignment="1">
      <alignment horizontal="right" vertical="center"/>
    </xf>
    <xf numFmtId="42" fontId="111" fillId="0" borderId="8" xfId="0" applyNumberFormat="1" applyFont="1" applyBorder="1" applyAlignment="1">
      <alignment horizontal="right" vertical="center"/>
    </xf>
    <xf numFmtId="42" fontId="124" fillId="0" borderId="0" xfId="0" applyNumberFormat="1" applyFont="1" applyFill="1" applyBorder="1" applyAlignment="1">
      <alignment horizontal="center" vertical="center"/>
    </xf>
    <xf numFmtId="42" fontId="125" fillId="0" borderId="0" xfId="0" applyNumberFormat="1" applyFont="1" applyFill="1" applyBorder="1" applyAlignment="1">
      <alignment horizontal="center" vertical="center"/>
    </xf>
    <xf numFmtId="41" fontId="111" fillId="10" borderId="0" xfId="0" applyNumberFormat="1" applyFont="1" applyFill="1" applyBorder="1" applyAlignment="1">
      <alignment vertical="center"/>
    </xf>
    <xf numFmtId="41" fontId="111" fillId="0" borderId="5" xfId="7" applyNumberFormat="1" applyFont="1" applyBorder="1" applyAlignment="1">
      <alignment vertical="center"/>
    </xf>
    <xf numFmtId="41" fontId="111" fillId="0" borderId="0" xfId="7" applyNumberFormat="1" applyFont="1" applyFill="1" applyBorder="1" applyAlignment="1">
      <alignment vertical="center"/>
    </xf>
    <xf numFmtId="41" fontId="111" fillId="0" borderId="5" xfId="0" applyNumberFormat="1" applyFont="1" applyFill="1" applyBorder="1" applyAlignment="1">
      <alignment horizontal="right" vertical="center"/>
    </xf>
    <xf numFmtId="41" fontId="111" fillId="0" borderId="4" xfId="0" applyNumberFormat="1" applyFont="1" applyFill="1" applyBorder="1" applyAlignment="1">
      <alignment vertical="center"/>
    </xf>
    <xf numFmtId="41" fontId="111" fillId="0" borderId="7" xfId="0" applyNumberFormat="1" applyFont="1" applyFill="1" applyBorder="1" applyAlignment="1">
      <alignment horizontal="right" vertical="center"/>
    </xf>
    <xf numFmtId="41" fontId="117" fillId="0" borderId="7" xfId="0" applyNumberFormat="1" applyFont="1" applyFill="1" applyBorder="1" applyAlignment="1">
      <alignment vertical="center"/>
    </xf>
    <xf numFmtId="41" fontId="126" fillId="0" borderId="0" xfId="0" applyNumberFormat="1" applyFont="1" applyBorder="1" applyAlignment="1">
      <alignment horizontal="center" vertical="center"/>
    </xf>
    <xf numFmtId="41" fontId="127" fillId="0" borderId="0" xfId="0" applyNumberFormat="1" applyFont="1" applyBorder="1" applyAlignment="1">
      <alignment horizontal="center" vertical="center"/>
    </xf>
    <xf numFmtId="41" fontId="119" fillId="11" borderId="3" xfId="0" applyNumberFormat="1" applyFont="1" applyFill="1" applyBorder="1" applyAlignment="1">
      <alignment horizontal="left" vertical="center"/>
    </xf>
    <xf numFmtId="41" fontId="111" fillId="0" borderId="7" xfId="0" applyNumberFormat="1" applyFont="1" applyBorder="1" applyAlignment="1">
      <alignment horizontal="right" vertical="center"/>
    </xf>
    <xf numFmtId="41" fontId="10" fillId="0" borderId="7" xfId="0" applyNumberFormat="1" applyFont="1" applyBorder="1" applyAlignment="1">
      <alignment horizontal="left" vertical="center"/>
    </xf>
    <xf numFmtId="41" fontId="119" fillId="11" borderId="7" xfId="0" applyNumberFormat="1" applyFont="1" applyFill="1" applyBorder="1" applyAlignment="1">
      <alignment horizontal="right" vertical="center"/>
    </xf>
    <xf numFmtId="41" fontId="7" fillId="0" borderId="6" xfId="0" applyNumberFormat="1" applyFont="1" applyFill="1" applyBorder="1" applyAlignment="1">
      <alignment vertical="center"/>
    </xf>
    <xf numFmtId="41" fontId="117" fillId="0" borderId="0" xfId="7" applyNumberFormat="1" applyFont="1" applyFill="1" applyBorder="1" applyAlignment="1">
      <alignment horizontal="right" vertical="center"/>
    </xf>
    <xf numFmtId="41" fontId="126" fillId="0" borderId="0" xfId="0" applyNumberFormat="1" applyFont="1" applyFill="1" applyBorder="1" applyAlignment="1">
      <alignment horizontal="center" vertical="center"/>
    </xf>
    <xf numFmtId="41" fontId="126" fillId="0" borderId="0" xfId="0" quotePrefix="1" applyNumberFormat="1" applyFont="1" applyFill="1" applyBorder="1" applyAlignment="1">
      <alignment horizontal="left" vertical="center"/>
    </xf>
    <xf numFmtId="41" fontId="124" fillId="0" borderId="8" xfId="0" applyNumberFormat="1" applyFont="1" applyBorder="1" applyAlignment="1">
      <alignment horizontal="center" vertical="center"/>
    </xf>
    <xf numFmtId="41" fontId="125" fillId="0" borderId="8" xfId="0" applyNumberFormat="1" applyFont="1" applyBorder="1" applyAlignment="1">
      <alignment horizontal="center" vertical="center"/>
    </xf>
    <xf numFmtId="167" fontId="7" fillId="0" borderId="6" xfId="0" applyNumberFormat="1" applyFont="1" applyFill="1" applyBorder="1" applyAlignment="1">
      <alignment vertical="center"/>
    </xf>
    <xf numFmtId="167" fontId="111" fillId="0" borderId="6" xfId="0" applyNumberFormat="1" applyFont="1" applyBorder="1" applyAlignment="1">
      <alignment vertical="center"/>
    </xf>
    <xf numFmtId="41" fontId="111" fillId="0" borderId="0" xfId="0" applyNumberFormat="1" applyFont="1" applyBorder="1" applyAlignment="1">
      <alignment horizontal="right" vertical="center"/>
    </xf>
    <xf numFmtId="41" fontId="4" fillId="0" borderId="0" xfId="0" applyNumberFormat="1" applyFont="1" applyFill="1" applyBorder="1" applyAlignment="1">
      <alignment horizontal="left" vertical="center"/>
    </xf>
    <xf numFmtId="41" fontId="7" fillId="0" borderId="0" xfId="0" applyNumberFormat="1" applyFont="1" applyFill="1" applyBorder="1" applyAlignment="1">
      <alignment horizontal="left" vertical="center"/>
    </xf>
    <xf numFmtId="41" fontId="119" fillId="11" borderId="5" xfId="0" applyNumberFormat="1" applyFont="1" applyFill="1" applyBorder="1" applyAlignment="1">
      <alignment horizontal="left" vertical="center"/>
    </xf>
    <xf numFmtId="41" fontId="119" fillId="11" borderId="7" xfId="0" applyNumberFormat="1" applyFont="1" applyFill="1" applyBorder="1" applyAlignment="1">
      <alignment horizontal="left" vertical="center"/>
    </xf>
    <xf numFmtId="41" fontId="119" fillId="11" borderId="9" xfId="0" applyNumberFormat="1" applyFont="1" applyFill="1" applyBorder="1" applyAlignment="1">
      <alignment horizontal="left" vertical="center"/>
    </xf>
    <xf numFmtId="41" fontId="119" fillId="11" borderId="9" xfId="0" applyNumberFormat="1" applyFont="1" applyFill="1" applyBorder="1" applyAlignment="1">
      <alignment horizontal="right" vertical="center"/>
    </xf>
    <xf numFmtId="41" fontId="119" fillId="0" borderId="7" xfId="0" applyNumberFormat="1" applyFont="1" applyFill="1" applyBorder="1" applyAlignment="1">
      <alignment horizontal="right" vertical="center"/>
    </xf>
    <xf numFmtId="41" fontId="4" fillId="0" borderId="7" xfId="0" applyNumberFormat="1" applyFont="1" applyFill="1" applyBorder="1" applyAlignment="1">
      <alignment horizontal="left" vertical="center"/>
    </xf>
    <xf numFmtId="41" fontId="4" fillId="0" borderId="9" xfId="0" applyNumberFormat="1" applyFont="1" applyFill="1" applyBorder="1" applyAlignment="1">
      <alignment horizontal="left" vertical="center"/>
    </xf>
    <xf numFmtId="41" fontId="4" fillId="0" borderId="11" xfId="0" applyNumberFormat="1" applyFont="1" applyFill="1" applyBorder="1" applyAlignment="1">
      <alignment horizontal="left" vertical="center"/>
    </xf>
    <xf numFmtId="41" fontId="4" fillId="0" borderId="8" xfId="0" applyNumberFormat="1" applyFont="1" applyFill="1" applyBorder="1" applyAlignment="1">
      <alignment horizontal="left" vertical="center"/>
    </xf>
    <xf numFmtId="41" fontId="4" fillId="0" borderId="8" xfId="0" applyNumberFormat="1" applyFont="1" applyFill="1" applyBorder="1" applyAlignment="1">
      <alignment horizontal="right" vertical="center"/>
    </xf>
    <xf numFmtId="41" fontId="4" fillId="0" borderId="5" xfId="0" applyNumberFormat="1" applyFont="1" applyFill="1" applyBorder="1" applyAlignment="1">
      <alignment horizontal="left" vertical="center"/>
    </xf>
    <xf numFmtId="41" fontId="111" fillId="0" borderId="0" xfId="0" applyNumberFormat="1" applyFont="1" applyFill="1" applyBorder="1" applyAlignment="1">
      <alignment horizontal="left" vertical="center"/>
    </xf>
    <xf numFmtId="41" fontId="111" fillId="0" borderId="0" xfId="0" applyNumberFormat="1" applyFont="1"/>
    <xf numFmtId="41" fontId="111" fillId="0" borderId="3" xfId="0" applyNumberFormat="1" applyFont="1" applyBorder="1"/>
    <xf numFmtId="41" fontId="111" fillId="0" borderId="5" xfId="0" applyNumberFormat="1" applyFont="1" applyBorder="1"/>
    <xf numFmtId="41" fontId="111" fillId="0" borderId="0" xfId="0" applyNumberFormat="1" applyFont="1" applyBorder="1"/>
    <xf numFmtId="41" fontId="4" fillId="0" borderId="3" xfId="0" applyNumberFormat="1" applyFont="1" applyFill="1" applyBorder="1" applyAlignment="1">
      <alignment horizontal="left" vertical="center"/>
    </xf>
    <xf numFmtId="165" fontId="7" fillId="0" borderId="8" xfId="0" applyNumberFormat="1" applyFont="1" applyFill="1" applyBorder="1" applyAlignment="1">
      <alignment vertical="center"/>
    </xf>
    <xf numFmtId="41" fontId="7" fillId="0" borderId="8" xfId="0" applyNumberFormat="1" applyFont="1" applyFill="1" applyBorder="1" applyAlignment="1">
      <alignment horizontal="left" vertical="center"/>
    </xf>
    <xf numFmtId="41" fontId="7" fillId="0" borderId="8" xfId="0" applyNumberFormat="1" applyFont="1" applyFill="1" applyBorder="1" applyAlignment="1">
      <alignment horizontal="right" vertical="center"/>
    </xf>
    <xf numFmtId="41" fontId="111" fillId="0" borderId="5" xfId="0" applyNumberFormat="1" applyFont="1" applyFill="1" applyBorder="1" applyAlignment="1">
      <alignment horizontal="left" vertical="center"/>
    </xf>
    <xf numFmtId="41" fontId="117" fillId="0" borderId="8" xfId="0" applyNumberFormat="1" applyFont="1" applyFill="1" applyBorder="1" applyAlignment="1">
      <alignment horizontal="right" vertical="center"/>
    </xf>
    <xf numFmtId="41" fontId="111" fillId="0" borderId="7" xfId="0" applyNumberFormat="1" applyFont="1" applyBorder="1"/>
    <xf numFmtId="164" fontId="119" fillId="11" borderId="5" xfId="0" applyNumberFormat="1" applyFont="1" applyFill="1" applyBorder="1" applyAlignment="1">
      <alignment vertical="center"/>
    </xf>
    <xf numFmtId="164" fontId="119" fillId="11" borderId="7" xfId="0" applyNumberFormat="1" applyFont="1" applyFill="1" applyBorder="1" applyAlignment="1">
      <alignment vertical="center"/>
    </xf>
    <xf numFmtId="41" fontId="4" fillId="0" borderId="6" xfId="0" applyNumberFormat="1" applyFont="1" applyFill="1" applyBorder="1" applyAlignment="1">
      <alignment horizontal="left" vertical="center"/>
    </xf>
    <xf numFmtId="164" fontId="4" fillId="0" borderId="11" xfId="0" applyNumberFormat="1" applyFont="1" applyFill="1" applyBorder="1" applyAlignment="1">
      <alignment vertical="center"/>
    </xf>
    <xf numFmtId="41" fontId="4" fillId="0" borderId="6" xfId="0" applyNumberFormat="1" applyFont="1" applyFill="1" applyBorder="1" applyAlignment="1">
      <alignment horizontal="right" vertical="center"/>
    </xf>
    <xf numFmtId="41" fontId="4" fillId="0" borderId="8" xfId="7" applyNumberFormat="1" applyFont="1" applyFill="1" applyBorder="1" applyAlignment="1">
      <alignment horizontal="right" vertical="center"/>
    </xf>
    <xf numFmtId="9" fontId="128" fillId="0" borderId="7" xfId="7" applyFont="1" applyFill="1" applyBorder="1" applyAlignment="1">
      <alignment vertical="center"/>
    </xf>
    <xf numFmtId="9" fontId="25" fillId="0" borderId="7" xfId="7" applyFont="1" applyFill="1" applyBorder="1" applyAlignment="1">
      <alignment vertical="center"/>
    </xf>
    <xf numFmtId="164" fontId="7" fillId="0" borderId="6" xfId="0" applyNumberFormat="1" applyFont="1" applyBorder="1" applyAlignment="1">
      <alignment vertical="center"/>
    </xf>
    <xf numFmtId="164" fontId="4" fillId="0" borderId="6" xfId="0" applyNumberFormat="1" applyFont="1" applyFill="1" applyBorder="1" applyAlignment="1">
      <alignment vertical="center"/>
    </xf>
    <xf numFmtId="164" fontId="4" fillId="0" borderId="8" xfId="0" applyNumberFormat="1" applyFont="1" applyFill="1" applyBorder="1" applyAlignment="1">
      <alignment vertical="center"/>
    </xf>
    <xf numFmtId="41" fontId="111" fillId="0" borderId="8" xfId="0" applyNumberFormat="1" applyFont="1" applyBorder="1"/>
    <xf numFmtId="41" fontId="4" fillId="0" borderId="8" xfId="0" applyNumberFormat="1" applyFont="1" applyBorder="1" applyAlignment="1">
      <alignment horizontal="center" vertical="center"/>
    </xf>
    <xf numFmtId="41" fontId="111" fillId="0" borderId="9" xfId="0" applyNumberFormat="1" applyFont="1" applyBorder="1"/>
    <xf numFmtId="41" fontId="111" fillId="0" borderId="6" xfId="0" applyNumberFormat="1" applyFont="1" applyBorder="1"/>
    <xf numFmtId="41" fontId="111" fillId="0" borderId="11" xfId="0" applyNumberFormat="1" applyFont="1" applyBorder="1"/>
    <xf numFmtId="164" fontId="4" fillId="0" borderId="9" xfId="0" applyNumberFormat="1" applyFont="1" applyFill="1" applyBorder="1" applyAlignment="1">
      <alignment vertical="center"/>
    </xf>
    <xf numFmtId="164" fontId="7" fillId="0" borderId="7" xfId="0" applyNumberFormat="1" applyFont="1" applyFill="1" applyBorder="1" applyAlignment="1">
      <alignment vertical="center"/>
    </xf>
    <xf numFmtId="41" fontId="111" fillId="0" borderId="9" xfId="0" applyNumberFormat="1" applyFont="1" applyFill="1" applyBorder="1" applyAlignment="1">
      <alignment horizontal="right" vertical="center"/>
    </xf>
    <xf numFmtId="41" fontId="111" fillId="0" borderId="6" xfId="0" applyNumberFormat="1" applyFont="1" applyFill="1" applyBorder="1" applyAlignment="1">
      <alignment horizontal="right" vertical="center"/>
    </xf>
    <xf numFmtId="41" fontId="111" fillId="0" borderId="8" xfId="0" applyNumberFormat="1" applyFont="1" applyFill="1" applyBorder="1" applyAlignment="1">
      <alignment horizontal="right" vertical="center"/>
    </xf>
    <xf numFmtId="41" fontId="111" fillId="0" borderId="0" xfId="7" applyNumberFormat="1" applyFont="1" applyFill="1" applyBorder="1" applyAlignment="1">
      <alignment horizontal="right" vertical="center"/>
    </xf>
    <xf numFmtId="41" fontId="4" fillId="0" borderId="0" xfId="7" applyNumberFormat="1" applyFont="1" applyFill="1" applyBorder="1" applyAlignment="1">
      <alignment vertical="center"/>
    </xf>
    <xf numFmtId="172" fontId="7" fillId="0" borderId="6" xfId="0" applyNumberFormat="1" applyFont="1" applyBorder="1" applyAlignment="1">
      <alignment vertical="center"/>
    </xf>
    <xf numFmtId="9" fontId="7" fillId="0" borderId="6" xfId="7" applyFont="1" applyFill="1" applyBorder="1" applyAlignment="1">
      <alignment vertical="center"/>
    </xf>
    <xf numFmtId="164" fontId="119" fillId="16" borderId="3" xfId="0" applyNumberFormat="1" applyFont="1" applyFill="1" applyBorder="1" applyAlignment="1">
      <alignment vertical="center"/>
    </xf>
    <xf numFmtId="41" fontId="119" fillId="11" borderId="10" xfId="0" applyNumberFormat="1" applyFont="1" applyFill="1" applyBorder="1" applyAlignment="1">
      <alignment vertical="center"/>
    </xf>
    <xf numFmtId="41" fontId="111" fillId="0" borderId="10" xfId="0" applyNumberFormat="1" applyFont="1" applyBorder="1"/>
    <xf numFmtId="41" fontId="119" fillId="12" borderId="9" xfId="0" applyNumberFormat="1" applyFont="1" applyFill="1" applyBorder="1" applyAlignment="1">
      <alignment horizontal="right" vertical="center"/>
    </xf>
    <xf numFmtId="41" fontId="119" fillId="17" borderId="9" xfId="0" applyNumberFormat="1" applyFont="1" applyFill="1" applyBorder="1" applyAlignment="1">
      <alignment horizontal="right" vertical="center"/>
    </xf>
    <xf numFmtId="41" fontId="119" fillId="16" borderId="9" xfId="0" applyNumberFormat="1" applyFont="1" applyFill="1" applyBorder="1" applyAlignment="1">
      <alignment horizontal="right" vertical="center"/>
    </xf>
    <xf numFmtId="41" fontId="119" fillId="18" borderId="9" xfId="0" applyNumberFormat="1" applyFont="1" applyFill="1" applyBorder="1" applyAlignment="1">
      <alignment horizontal="right" vertical="center"/>
    </xf>
    <xf numFmtId="41" fontId="119" fillId="19" borderId="9" xfId="0" applyNumberFormat="1" applyFont="1" applyFill="1" applyBorder="1" applyAlignment="1">
      <alignment horizontal="right" vertical="center"/>
    </xf>
    <xf numFmtId="164" fontId="119" fillId="19" borderId="7" xfId="0" applyNumberFormat="1" applyFont="1" applyFill="1" applyBorder="1" applyAlignment="1">
      <alignment vertical="center"/>
    </xf>
    <xf numFmtId="164" fontId="119" fillId="20" borderId="3" xfId="0" applyNumberFormat="1" applyFont="1" applyFill="1" applyBorder="1" applyAlignment="1">
      <alignment vertical="center"/>
    </xf>
    <xf numFmtId="164" fontId="119" fillId="18" borderId="3" xfId="0" applyNumberFormat="1" applyFont="1" applyFill="1" applyBorder="1" applyAlignment="1">
      <alignment vertical="center"/>
    </xf>
    <xf numFmtId="164" fontId="119" fillId="17" borderId="3" xfId="0" applyNumberFormat="1" applyFont="1" applyFill="1" applyBorder="1" applyAlignment="1">
      <alignment vertical="center"/>
    </xf>
    <xf numFmtId="164" fontId="119" fillId="12" borderId="5" xfId="0" applyNumberFormat="1" applyFont="1" applyFill="1" applyBorder="1" applyAlignment="1">
      <alignment vertical="center"/>
    </xf>
    <xf numFmtId="168" fontId="119" fillId="20" borderId="3" xfId="0" applyNumberFormat="1" applyFont="1" applyFill="1" applyBorder="1" applyAlignment="1">
      <alignment vertical="center"/>
    </xf>
    <xf numFmtId="164" fontId="119" fillId="21" borderId="7" xfId="0" applyNumberFormat="1" applyFont="1" applyFill="1" applyBorder="1" applyAlignment="1">
      <alignment vertical="center"/>
    </xf>
    <xf numFmtId="41" fontId="5" fillId="0" borderId="0" xfId="0" applyNumberFormat="1" applyFont="1" applyFill="1" applyBorder="1" applyAlignment="1">
      <alignment horizontal="center" wrapText="1"/>
    </xf>
    <xf numFmtId="164" fontId="17" fillId="0" borderId="3" xfId="0" applyNumberFormat="1" applyFont="1" applyBorder="1" applyAlignment="1">
      <alignment vertical="center"/>
    </xf>
    <xf numFmtId="164" fontId="17" fillId="0" borderId="3" xfId="0" applyNumberFormat="1" applyFont="1" applyFill="1" applyBorder="1" applyAlignment="1">
      <alignment vertical="center"/>
    </xf>
    <xf numFmtId="0" fontId="111" fillId="22" borderId="0" xfId="0" applyFont="1" applyFill="1" applyAlignment="1">
      <alignment vertical="center"/>
    </xf>
    <xf numFmtId="0" fontId="111" fillId="22" borderId="3" xfId="0" applyFont="1" applyFill="1" applyBorder="1" applyAlignment="1">
      <alignment vertical="center"/>
    </xf>
    <xf numFmtId="41" fontId="111" fillId="22" borderId="3" xfId="0" applyNumberFormat="1" applyFont="1" applyFill="1" applyBorder="1" applyAlignment="1">
      <alignment vertical="center"/>
    </xf>
    <xf numFmtId="0" fontId="111" fillId="22" borderId="9" xfId="0" applyFont="1" applyFill="1" applyBorder="1" applyAlignment="1">
      <alignment vertical="center"/>
    </xf>
    <xf numFmtId="0" fontId="111" fillId="22" borderId="11" xfId="0" applyFont="1" applyFill="1" applyBorder="1" applyAlignment="1">
      <alignment vertical="center"/>
    </xf>
    <xf numFmtId="0" fontId="111" fillId="22" borderId="10" xfId="0" applyFont="1" applyFill="1" applyBorder="1" applyAlignment="1">
      <alignment vertical="center"/>
    </xf>
    <xf numFmtId="0" fontId="111" fillId="22" borderId="8" xfId="0" applyFont="1" applyFill="1" applyBorder="1" applyAlignment="1">
      <alignment vertical="center"/>
    </xf>
    <xf numFmtId="41" fontId="4" fillId="0" borderId="3" xfId="0" applyNumberFormat="1" applyFont="1" applyBorder="1" applyAlignment="1">
      <alignment horizontal="right" vertical="center"/>
    </xf>
    <xf numFmtId="41" fontId="111" fillId="0" borderId="0" xfId="0" applyNumberFormat="1" applyFont="1" applyBorder="1" applyAlignment="1">
      <alignment vertical="center"/>
    </xf>
    <xf numFmtId="3" fontId="54" fillId="0" borderId="3" xfId="0" applyNumberFormat="1" applyFont="1" applyBorder="1" applyAlignment="1">
      <alignment vertical="center"/>
    </xf>
    <xf numFmtId="3" fontId="10" fillId="0" borderId="3" xfId="0" applyNumberFormat="1" applyFont="1" applyBorder="1" applyAlignment="1">
      <alignment vertical="center"/>
    </xf>
    <xf numFmtId="3" fontId="4" fillId="0" borderId="3" xfId="0" applyNumberFormat="1" applyFont="1" applyBorder="1" applyAlignment="1">
      <alignment vertical="center" wrapText="1"/>
    </xf>
    <xf numFmtId="41" fontId="4" fillId="0" borderId="5" xfId="0" applyNumberFormat="1" applyFont="1" applyBorder="1" applyAlignment="1"/>
    <xf numFmtId="41" fontId="112" fillId="11" borderId="3" xfId="0" applyNumberFormat="1" applyFont="1" applyFill="1" applyBorder="1" applyAlignment="1">
      <alignment vertical="center"/>
    </xf>
    <xf numFmtId="41" fontId="112" fillId="11" borderId="5" xfId="0" applyNumberFormat="1" applyFont="1" applyFill="1" applyBorder="1" applyAlignment="1"/>
    <xf numFmtId="37" fontId="112" fillId="0" borderId="3" xfId="0" applyNumberFormat="1" applyFont="1" applyBorder="1" applyAlignment="1">
      <alignment vertical="center"/>
    </xf>
    <xf numFmtId="41" fontId="30" fillId="0" borderId="3" xfId="0" applyNumberFormat="1" applyFont="1" applyBorder="1" applyAlignment="1">
      <alignment horizontal="center" vertical="center"/>
    </xf>
    <xf numFmtId="165" fontId="111" fillId="0" borderId="3" xfId="0" applyNumberFormat="1" applyFont="1" applyFill="1" applyBorder="1" applyAlignment="1">
      <alignment vertical="center"/>
    </xf>
    <xf numFmtId="165" fontId="111" fillId="0" borderId="3" xfId="0" applyNumberFormat="1" applyFont="1" applyBorder="1" applyAlignment="1">
      <alignment vertical="center"/>
    </xf>
    <xf numFmtId="3" fontId="111" fillId="0" borderId="3" xfId="0" applyNumberFormat="1" applyFont="1" applyBorder="1" applyAlignment="1">
      <alignment vertical="center"/>
    </xf>
    <xf numFmtId="3" fontId="111" fillId="0" borderId="8" xfId="0" applyNumberFormat="1" applyFont="1" applyBorder="1" applyAlignment="1">
      <alignment vertical="center"/>
    </xf>
    <xf numFmtId="3" fontId="111" fillId="0" borderId="7" xfId="0" applyNumberFormat="1" applyFont="1" applyBorder="1" applyAlignment="1">
      <alignment vertical="center"/>
    </xf>
    <xf numFmtId="9" fontId="111" fillId="0" borderId="7" xfId="6" applyFont="1" applyFill="1" applyBorder="1" applyAlignment="1">
      <alignment vertical="center"/>
    </xf>
    <xf numFmtId="9" fontId="111" fillId="0" borderId="7" xfId="6" applyFont="1" applyBorder="1" applyAlignment="1">
      <alignment vertical="center"/>
    </xf>
    <xf numFmtId="9" fontId="111" fillId="0" borderId="3" xfId="6" applyFont="1" applyFill="1" applyBorder="1" applyAlignment="1">
      <alignment vertical="center"/>
    </xf>
    <xf numFmtId="9" fontId="111" fillId="0" borderId="3" xfId="6" applyFont="1" applyBorder="1" applyAlignment="1">
      <alignment vertical="center"/>
    </xf>
    <xf numFmtId="9" fontId="111" fillId="0" borderId="5" xfId="6" applyFont="1" applyFill="1" applyBorder="1" applyAlignment="1">
      <alignment vertical="center"/>
    </xf>
    <xf numFmtId="9" fontId="111" fillId="0" borderId="5" xfId="6" applyFont="1" applyBorder="1" applyAlignment="1">
      <alignment vertical="center"/>
    </xf>
    <xf numFmtId="9" fontId="111" fillId="0" borderId="8" xfId="6" applyFont="1" applyFill="1" applyBorder="1" applyAlignment="1">
      <alignment vertical="center"/>
    </xf>
    <xf numFmtId="9" fontId="111" fillId="0" borderId="8" xfId="6" applyFont="1" applyBorder="1" applyAlignment="1">
      <alignment vertical="center"/>
    </xf>
    <xf numFmtId="0" fontId="111" fillId="0" borderId="3" xfId="0" applyFont="1" applyFill="1" applyBorder="1" applyAlignment="1">
      <alignment vertical="center"/>
    </xf>
    <xf numFmtId="41" fontId="20" fillId="0" borderId="3" xfId="0" applyNumberFormat="1" applyFont="1" applyBorder="1" applyAlignment="1">
      <alignment horizontal="center" vertical="center"/>
    </xf>
    <xf numFmtId="41" fontId="127" fillId="0" borderId="7" xfId="0" applyNumberFormat="1" applyFont="1" applyBorder="1" applyAlignment="1">
      <alignment vertical="center"/>
    </xf>
    <xf numFmtId="41" fontId="127" fillId="0" borderId="3" xfId="0" applyNumberFormat="1" applyFont="1" applyBorder="1" applyAlignment="1">
      <alignment vertical="center"/>
    </xf>
    <xf numFmtId="3" fontId="111" fillId="0" borderId="5" xfId="0" applyNumberFormat="1" applyFont="1" applyBorder="1" applyAlignment="1">
      <alignment vertical="center"/>
    </xf>
    <xf numFmtId="3" fontId="111" fillId="0" borderId="0" xfId="0" applyNumberFormat="1" applyFont="1" applyBorder="1" applyAlignment="1">
      <alignment vertical="center"/>
    </xf>
    <xf numFmtId="0" fontId="111" fillId="0" borderId="3" xfId="0" applyFont="1" applyBorder="1" applyAlignment="1">
      <alignment vertical="center"/>
    </xf>
    <xf numFmtId="41" fontId="10" fillId="0" borderId="3" xfId="0" applyNumberFormat="1" applyFont="1" applyBorder="1" applyAlignment="1">
      <alignment horizontal="center" vertical="center"/>
    </xf>
    <xf numFmtId="3" fontId="112" fillId="0" borderId="3" xfId="0" applyNumberFormat="1" applyFont="1" applyBorder="1" applyAlignment="1">
      <alignment vertical="center"/>
    </xf>
    <xf numFmtId="3" fontId="121" fillId="0" borderId="3" xfId="0" applyNumberFormat="1" applyFont="1" applyBorder="1" applyAlignment="1">
      <alignment vertical="center"/>
    </xf>
    <xf numFmtId="41" fontId="121" fillId="0" borderId="3" xfId="0" applyNumberFormat="1" applyFont="1" applyBorder="1" applyAlignment="1">
      <alignment vertical="center"/>
    </xf>
    <xf numFmtId="41" fontId="111" fillId="0" borderId="3" xfId="0" applyNumberFormat="1" applyFont="1" applyBorder="1" applyAlignment="1"/>
    <xf numFmtId="41" fontId="4" fillId="0" borderId="3" xfId="0" applyNumberFormat="1" applyFont="1" applyBorder="1" applyAlignment="1"/>
    <xf numFmtId="41" fontId="112" fillId="11" borderId="3" xfId="0" applyNumberFormat="1" applyFont="1" applyFill="1" applyBorder="1" applyAlignment="1"/>
    <xf numFmtId="3" fontId="129" fillId="0" borderId="3" xfId="0" applyNumberFormat="1" applyFont="1" applyBorder="1" applyAlignment="1">
      <alignment vertical="center"/>
    </xf>
    <xf numFmtId="3" fontId="112" fillId="0" borderId="3" xfId="0" applyNumberFormat="1" applyFont="1" applyFill="1" applyBorder="1" applyAlignment="1">
      <alignment vertical="center"/>
    </xf>
    <xf numFmtId="3" fontId="130" fillId="0" borderId="3" xfId="0" applyNumberFormat="1" applyFont="1" applyFill="1" applyBorder="1" applyAlignment="1">
      <alignment vertical="center"/>
    </xf>
    <xf numFmtId="3" fontId="131" fillId="0" borderId="3" xfId="0" applyNumberFormat="1" applyFont="1" applyFill="1" applyBorder="1" applyAlignment="1">
      <alignment vertical="center"/>
    </xf>
    <xf numFmtId="3" fontId="132" fillId="0" borderId="3" xfId="0" applyNumberFormat="1" applyFont="1" applyFill="1" applyBorder="1" applyAlignment="1">
      <alignment vertical="center"/>
    </xf>
    <xf numFmtId="3" fontId="133" fillId="0" borderId="3" xfId="0" applyNumberFormat="1" applyFont="1" applyFill="1" applyBorder="1" applyAlignment="1">
      <alignment vertical="center"/>
    </xf>
    <xf numFmtId="3" fontId="121" fillId="0" borderId="3" xfId="0" applyNumberFormat="1" applyFont="1" applyFill="1" applyBorder="1" applyAlignment="1">
      <alignment vertical="center"/>
    </xf>
    <xf numFmtId="41" fontId="112" fillId="11" borderId="5" xfId="0" applyNumberFormat="1" applyFont="1" applyFill="1" applyBorder="1" applyAlignment="1">
      <alignment vertical="center"/>
    </xf>
    <xf numFmtId="3" fontId="112" fillId="0" borderId="5" xfId="0" applyNumberFormat="1" applyFont="1" applyFill="1" applyBorder="1" applyAlignment="1">
      <alignment vertical="center"/>
    </xf>
    <xf numFmtId="41" fontId="10" fillId="0" borderId="3" xfId="0" applyNumberFormat="1" applyFont="1" applyBorder="1" applyAlignment="1">
      <alignment horizontal="left" vertical="center"/>
    </xf>
    <xf numFmtId="41" fontId="111" fillId="0" borderId="0" xfId="0" applyNumberFormat="1" applyFont="1" applyBorder="1" applyAlignment="1">
      <alignment horizontal="center" vertical="center"/>
    </xf>
    <xf numFmtId="41" fontId="111" fillId="0" borderId="7" xfId="0" applyNumberFormat="1" applyFont="1" applyBorder="1" applyAlignment="1">
      <alignment horizontal="center" vertical="center"/>
    </xf>
    <xf numFmtId="41" fontId="111" fillId="0" borderId="24" xfId="0" applyNumberFormat="1" applyFont="1" applyFill="1" applyBorder="1" applyAlignment="1">
      <alignment vertical="center"/>
    </xf>
    <xf numFmtId="41" fontId="111" fillId="0" borderId="25" xfId="0" applyNumberFormat="1" applyFont="1" applyFill="1" applyBorder="1" applyAlignment="1">
      <alignment vertical="center"/>
    </xf>
    <xf numFmtId="43" fontId="111" fillId="0" borderId="0" xfId="0" applyNumberFormat="1" applyFont="1" applyBorder="1" applyAlignment="1">
      <alignment vertical="center"/>
    </xf>
    <xf numFmtId="41" fontId="111" fillId="5" borderId="0" xfId="0" applyNumberFormat="1" applyFont="1" applyFill="1" applyBorder="1" applyAlignment="1">
      <alignment vertical="center"/>
    </xf>
    <xf numFmtId="41" fontId="111" fillId="5" borderId="7" xfId="0" applyNumberFormat="1" applyFont="1" applyFill="1" applyBorder="1" applyAlignment="1">
      <alignment vertical="center"/>
    </xf>
    <xf numFmtId="41" fontId="111" fillId="6" borderId="3" xfId="0" applyNumberFormat="1" applyFont="1" applyFill="1" applyBorder="1" applyAlignment="1">
      <alignment vertical="center"/>
    </xf>
    <xf numFmtId="41" fontId="134" fillId="0" borderId="0" xfId="0" applyNumberFormat="1" applyFont="1" applyFill="1" applyBorder="1" applyAlignment="1">
      <alignment horizontal="center" vertical="center"/>
    </xf>
    <xf numFmtId="41" fontId="118" fillId="0" borderId="8" xfId="0" applyNumberFormat="1" applyFont="1" applyFill="1" applyBorder="1" applyAlignment="1">
      <alignment vertical="center"/>
    </xf>
    <xf numFmtId="41" fontId="118" fillId="0" borderId="11" xfId="0" applyNumberFormat="1" applyFont="1" applyBorder="1" applyAlignment="1">
      <alignment vertical="center"/>
    </xf>
    <xf numFmtId="41" fontId="118" fillId="0" borderId="9" xfId="0" applyNumberFormat="1" applyFont="1" applyBorder="1" applyAlignment="1">
      <alignment vertical="center"/>
    </xf>
    <xf numFmtId="41" fontId="118" fillId="0" borderId="8" xfId="0" applyNumberFormat="1" applyFont="1" applyBorder="1" applyAlignment="1">
      <alignment vertical="center"/>
    </xf>
    <xf numFmtId="41" fontId="121" fillId="2" borderId="0" xfId="6" applyNumberFormat="1" applyFont="1" applyFill="1" applyBorder="1" applyAlignment="1">
      <alignment vertical="center"/>
    </xf>
    <xf numFmtId="41" fontId="117" fillId="0" borderId="8" xfId="0" applyNumberFormat="1" applyFont="1" applyBorder="1" applyAlignment="1">
      <alignment vertical="center"/>
    </xf>
    <xf numFmtId="0" fontId="111" fillId="0" borderId="5" xfId="0" applyFont="1" applyBorder="1" applyAlignment="1">
      <alignment vertical="center"/>
    </xf>
    <xf numFmtId="3" fontId="111" fillId="0" borderId="5" xfId="0" applyNumberFormat="1" applyFont="1" applyBorder="1" applyAlignment="1">
      <alignment vertical="center" wrapText="1"/>
    </xf>
    <xf numFmtId="41" fontId="111" fillId="0" borderId="3" xfId="0" applyNumberFormat="1" applyFont="1" applyFill="1" applyBorder="1" applyAlignment="1"/>
    <xf numFmtId="9" fontId="111" fillId="0" borderId="0" xfId="6" applyFont="1" applyFill="1" applyBorder="1" applyAlignment="1">
      <alignment vertical="center"/>
    </xf>
    <xf numFmtId="9" fontId="111" fillId="0" borderId="0" xfId="6" applyFont="1" applyBorder="1" applyAlignment="1">
      <alignment vertical="center"/>
    </xf>
    <xf numFmtId="3" fontId="111" fillId="0" borderId="0" xfId="0" applyNumberFormat="1" applyFont="1" applyBorder="1" applyAlignment="1">
      <alignment vertical="center" wrapText="1"/>
    </xf>
    <xf numFmtId="3" fontId="111" fillId="0" borderId="3" xfId="0" applyNumberFormat="1" applyFont="1" applyBorder="1" applyAlignment="1">
      <alignment vertical="center" wrapText="1"/>
    </xf>
    <xf numFmtId="41" fontId="0" fillId="0" borderId="3" xfId="0" applyNumberFormat="1" applyBorder="1"/>
    <xf numFmtId="41" fontId="111" fillId="0" borderId="8" xfId="6" applyNumberFormat="1" applyFont="1" applyFill="1" applyBorder="1" applyAlignment="1">
      <alignment vertical="center"/>
    </xf>
    <xf numFmtId="41" fontId="111" fillId="0" borderId="8" xfId="6" applyNumberFormat="1" applyFont="1" applyBorder="1" applyAlignment="1">
      <alignment vertical="center"/>
    </xf>
    <xf numFmtId="41" fontId="112" fillId="11" borderId="0" xfId="0" applyNumberFormat="1" applyFont="1" applyFill="1" applyBorder="1" applyAlignment="1">
      <alignment vertical="center"/>
    </xf>
    <xf numFmtId="41" fontId="10" fillId="0" borderId="8" xfId="0" applyNumberFormat="1" applyFont="1" applyBorder="1" applyAlignment="1">
      <alignment vertical="center"/>
    </xf>
    <xf numFmtId="41" fontId="111" fillId="0" borderId="0" xfId="0" applyNumberFormat="1" applyFont="1" applyBorder="1" applyAlignment="1">
      <alignment vertical="center"/>
    </xf>
    <xf numFmtId="5" fontId="4" fillId="0" borderId="0" xfId="0" applyNumberFormat="1" applyFont="1" applyFill="1" applyBorder="1" applyAlignment="1">
      <alignment vertical="center"/>
    </xf>
    <xf numFmtId="3" fontId="0" fillId="0" borderId="0" xfId="0" applyNumberFormat="1" applyFill="1" applyBorder="1" applyAlignment="1">
      <alignment vertical="center"/>
    </xf>
    <xf numFmtId="37" fontId="4" fillId="0" borderId="0" xfId="0" applyNumberFormat="1" applyFont="1" applyFill="1" applyBorder="1" applyAlignment="1">
      <alignment vertical="center"/>
    </xf>
    <xf numFmtId="41" fontId="111" fillId="0" borderId="0" xfId="0" applyNumberFormat="1" applyFont="1" applyBorder="1" applyAlignment="1">
      <alignment vertical="center"/>
    </xf>
    <xf numFmtId="37" fontId="20" fillId="10" borderId="22" xfId="0" applyNumberFormat="1" applyFont="1" applyFill="1" applyBorder="1" applyAlignment="1">
      <alignment horizontal="center" vertical="center"/>
    </xf>
    <xf numFmtId="37" fontId="20" fillId="10" borderId="29" xfId="0" applyNumberFormat="1" applyFont="1" applyFill="1" applyBorder="1" applyAlignment="1">
      <alignment horizontal="centerContinuous" vertical="center"/>
    </xf>
    <xf numFmtId="37" fontId="20" fillId="10" borderId="30" xfId="0" applyNumberFormat="1" applyFont="1" applyFill="1" applyBorder="1" applyAlignment="1">
      <alignment horizontal="centerContinuous" vertical="center"/>
    </xf>
    <xf numFmtId="37" fontId="20" fillId="10" borderId="31" xfId="0" applyNumberFormat="1" applyFont="1" applyFill="1" applyBorder="1" applyAlignment="1">
      <alignment horizontal="center" vertical="center"/>
    </xf>
    <xf numFmtId="37" fontId="20" fillId="10" borderId="20" xfId="0" applyNumberFormat="1" applyFont="1" applyFill="1" applyBorder="1" applyAlignment="1">
      <alignment horizontal="centerContinuous" vertical="center"/>
    </xf>
    <xf numFmtId="37" fontId="20" fillId="10" borderId="21" xfId="0" applyNumberFormat="1" applyFont="1" applyFill="1" applyBorder="1" applyAlignment="1">
      <alignment horizontal="centerContinuous" vertical="center"/>
    </xf>
    <xf numFmtId="37" fontId="20" fillId="10" borderId="32" xfId="0" applyNumberFormat="1" applyFont="1" applyFill="1" applyBorder="1" applyAlignment="1">
      <alignment horizontal="center" vertical="center"/>
    </xf>
    <xf numFmtId="37" fontId="20" fillId="10" borderId="18" xfId="0" applyNumberFormat="1" applyFont="1" applyFill="1" applyBorder="1" applyAlignment="1">
      <alignment horizontal="centerContinuous" vertical="center"/>
    </xf>
    <xf numFmtId="41" fontId="20" fillId="10" borderId="19" xfId="0" applyNumberFormat="1" applyFont="1" applyFill="1" applyBorder="1" applyAlignment="1">
      <alignment horizontal="centerContinuous" vertical="center"/>
    </xf>
    <xf numFmtId="37" fontId="20" fillId="23" borderId="29" xfId="0" applyNumberFormat="1" applyFont="1" applyFill="1" applyBorder="1" applyAlignment="1">
      <alignment horizontal="center" vertical="center"/>
    </xf>
    <xf numFmtId="37" fontId="20" fillId="23" borderId="31" xfId="0" applyNumberFormat="1" applyFont="1" applyFill="1" applyBorder="1" applyAlignment="1">
      <alignment horizontal="center" vertical="center"/>
    </xf>
    <xf numFmtId="37" fontId="20" fillId="23" borderId="32" xfId="0" applyNumberFormat="1" applyFont="1" applyFill="1" applyBorder="1" applyAlignment="1">
      <alignment horizontal="center" vertical="center"/>
    </xf>
    <xf numFmtId="37" fontId="20" fillId="23" borderId="28" xfId="0" applyNumberFormat="1" applyFont="1" applyFill="1" applyBorder="1" applyAlignment="1">
      <alignment horizontal="centerContinuous" vertical="center"/>
    </xf>
    <xf numFmtId="37" fontId="20" fillId="23" borderId="33" xfId="0" applyNumberFormat="1" applyFont="1" applyFill="1" applyBorder="1" applyAlignment="1">
      <alignment horizontal="centerContinuous" vertical="center"/>
    </xf>
    <xf numFmtId="37" fontId="20" fillId="23" borderId="34" xfId="0" applyNumberFormat="1" applyFont="1" applyFill="1" applyBorder="1" applyAlignment="1">
      <alignment horizontal="centerContinuous" vertical="center"/>
    </xf>
    <xf numFmtId="37" fontId="20" fillId="23" borderId="35" xfId="0" applyNumberFormat="1" applyFont="1" applyFill="1" applyBorder="1" applyAlignment="1">
      <alignment horizontal="centerContinuous" vertical="center"/>
    </xf>
    <xf numFmtId="37" fontId="20" fillId="23" borderId="36" xfId="0" applyNumberFormat="1" applyFont="1" applyFill="1" applyBorder="1" applyAlignment="1">
      <alignment horizontal="centerContinuous" vertical="center"/>
    </xf>
    <xf numFmtId="0" fontId="10" fillId="24" borderId="3" xfId="0" applyFont="1" applyFill="1" applyBorder="1" applyAlignment="1">
      <alignment vertical="center"/>
    </xf>
    <xf numFmtId="164" fontId="4" fillId="24" borderId="3" xfId="0" applyNumberFormat="1" applyFont="1" applyFill="1" applyBorder="1" applyAlignment="1">
      <alignment vertical="center"/>
    </xf>
    <xf numFmtId="174" fontId="10" fillId="24" borderId="3" xfId="0" applyNumberFormat="1" applyFont="1" applyFill="1" applyBorder="1" applyAlignment="1">
      <alignment horizontal="center" vertical="center"/>
    </xf>
    <xf numFmtId="164" fontId="49" fillId="24" borderId="3" xfId="0" applyNumberFormat="1" applyFont="1" applyFill="1" applyBorder="1" applyAlignment="1">
      <alignment horizontal="center" vertical="center"/>
    </xf>
    <xf numFmtId="0" fontId="25" fillId="24" borderId="3" xfId="0" applyFont="1" applyFill="1" applyBorder="1" applyAlignment="1">
      <alignment vertical="center"/>
    </xf>
    <xf numFmtId="42" fontId="4" fillId="24" borderId="8" xfId="0" applyNumberFormat="1" applyFont="1" applyFill="1" applyBorder="1" applyAlignment="1">
      <alignment vertical="center"/>
    </xf>
    <xf numFmtId="42" fontId="4" fillId="24" borderId="3" xfId="0" applyNumberFormat="1" applyFont="1" applyFill="1" applyBorder="1" applyAlignment="1">
      <alignment vertical="center"/>
    </xf>
    <xf numFmtId="41" fontId="4" fillId="24" borderId="3" xfId="0" applyNumberFormat="1" applyFont="1" applyFill="1" applyBorder="1" applyAlignment="1">
      <alignment vertical="center"/>
    </xf>
    <xf numFmtId="41" fontId="4" fillId="24" borderId="3" xfId="0" quotePrefix="1" applyNumberFormat="1" applyFont="1" applyFill="1" applyBorder="1" applyAlignment="1">
      <alignment horizontal="right" vertical="center"/>
    </xf>
    <xf numFmtId="164" fontId="10" fillId="24" borderId="3" xfId="0" applyNumberFormat="1" applyFont="1" applyFill="1" applyBorder="1" applyAlignment="1">
      <alignment vertical="center"/>
    </xf>
    <xf numFmtId="174" fontId="10" fillId="24" borderId="0" xfId="0" applyNumberFormat="1" applyFont="1" applyFill="1" applyBorder="1" applyAlignment="1">
      <alignment horizontal="centerContinuous" vertical="center"/>
    </xf>
    <xf numFmtId="174" fontId="4" fillId="24" borderId="0" xfId="0" applyNumberFormat="1" applyFont="1" applyFill="1" applyBorder="1" applyAlignment="1">
      <alignment horizontal="centerContinuous" vertical="center"/>
    </xf>
    <xf numFmtId="174" fontId="10" fillId="23" borderId="0" xfId="0" applyNumberFormat="1" applyFont="1" applyFill="1" applyBorder="1" applyAlignment="1">
      <alignment horizontal="centerContinuous" vertical="center"/>
    </xf>
    <xf numFmtId="174" fontId="4" fillId="23" borderId="0" xfId="0" applyNumberFormat="1" applyFont="1" applyFill="1" applyBorder="1" applyAlignment="1">
      <alignment horizontal="centerContinuous" vertical="center"/>
    </xf>
    <xf numFmtId="3" fontId="3" fillId="23" borderId="0" xfId="0" applyNumberFormat="1" applyFont="1" applyFill="1" applyBorder="1" applyAlignment="1">
      <alignment horizontal="center" vertical="center"/>
    </xf>
    <xf numFmtId="1" fontId="5" fillId="23" borderId="0" xfId="0" quotePrefix="1" applyNumberFormat="1" applyFont="1" applyFill="1" applyBorder="1" applyAlignment="1">
      <alignment horizontal="center" vertical="center"/>
    </xf>
    <xf numFmtId="41" fontId="121" fillId="12" borderId="0" xfId="0" applyNumberFormat="1" applyFont="1" applyFill="1" applyBorder="1" applyAlignment="1">
      <alignment vertical="center"/>
    </xf>
    <xf numFmtId="41" fontId="111" fillId="0" borderId="0" xfId="0" applyNumberFormat="1" applyFont="1" applyBorder="1" applyAlignment="1">
      <alignment vertical="center"/>
    </xf>
    <xf numFmtId="41" fontId="111" fillId="0" borderId="0" xfId="0" applyNumberFormat="1" applyFont="1" applyAlignment="1">
      <alignment vertical="center"/>
    </xf>
    <xf numFmtId="0" fontId="111" fillId="0" borderId="0" xfId="0" applyFont="1" applyFill="1" applyBorder="1" applyAlignment="1">
      <alignment vertical="center"/>
    </xf>
    <xf numFmtId="41" fontId="111" fillId="2" borderId="0" xfId="0" quotePrefix="1" applyNumberFormat="1" applyFont="1" applyFill="1" applyAlignment="1">
      <alignment vertical="center"/>
    </xf>
    <xf numFmtId="41" fontId="111" fillId="2" borderId="0" xfId="0" applyNumberFormat="1" applyFont="1" applyFill="1" applyAlignment="1">
      <alignment vertical="center"/>
    </xf>
    <xf numFmtId="9" fontId="111" fillId="2" borderId="0" xfId="6" applyFont="1" applyFill="1" applyBorder="1" applyAlignment="1">
      <alignment vertical="center"/>
    </xf>
    <xf numFmtId="0" fontId="111" fillId="2" borderId="0" xfId="0" applyFont="1" applyFill="1" applyAlignment="1">
      <alignment vertical="center"/>
    </xf>
    <xf numFmtId="41" fontId="122" fillId="2" borderId="0" xfId="0" applyNumberFormat="1" applyFont="1" applyFill="1" applyAlignment="1">
      <alignment vertical="center"/>
    </xf>
    <xf numFmtId="9" fontId="111" fillId="2" borderId="0" xfId="6" applyFont="1" applyFill="1" applyAlignment="1">
      <alignment vertical="center"/>
    </xf>
    <xf numFmtId="41" fontId="111" fillId="0" borderId="12" xfId="0" applyNumberFormat="1" applyFont="1" applyFill="1" applyBorder="1" applyAlignment="1">
      <alignment vertical="center"/>
    </xf>
    <xf numFmtId="9" fontId="111" fillId="0" borderId="12" xfId="6" applyFont="1" applyFill="1" applyBorder="1" applyAlignment="1">
      <alignment vertical="center"/>
    </xf>
    <xf numFmtId="0" fontId="111" fillId="0" borderId="12" xfId="0" applyFont="1" applyFill="1" applyBorder="1" applyAlignment="1">
      <alignment vertical="center"/>
    </xf>
    <xf numFmtId="9" fontId="111" fillId="0" borderId="0" xfId="6" applyFont="1" applyFill="1" applyAlignment="1">
      <alignment vertical="center"/>
    </xf>
    <xf numFmtId="41" fontId="118" fillId="0" borderId="0" xfId="0" applyNumberFormat="1" applyFont="1" applyBorder="1" applyAlignment="1">
      <alignment vertical="center"/>
    </xf>
    <xf numFmtId="41" fontId="135" fillId="0" borderId="0" xfId="0" applyNumberFormat="1" applyFont="1" applyAlignment="1">
      <alignment vertical="center"/>
    </xf>
    <xf numFmtId="165" fontId="111" fillId="0" borderId="0" xfId="0" applyNumberFormat="1" applyFont="1" applyFill="1" applyAlignment="1">
      <alignment vertical="center"/>
    </xf>
    <xf numFmtId="9" fontId="111" fillId="0" borderId="0" xfId="6" applyFont="1" applyAlignment="1">
      <alignment vertical="center"/>
    </xf>
    <xf numFmtId="164" fontId="4" fillId="0" borderId="5" xfId="3" applyNumberFormat="1" applyFont="1" applyFill="1" applyBorder="1" applyAlignment="1">
      <alignment horizontal="right" vertical="center"/>
    </xf>
    <xf numFmtId="164" fontId="4" fillId="0" borderId="5" xfId="3" applyNumberFormat="1" applyFont="1" applyFill="1" applyBorder="1" applyAlignment="1">
      <alignment vertical="center"/>
    </xf>
    <xf numFmtId="164" fontId="119" fillId="11" borderId="5" xfId="3" applyNumberFormat="1" applyFont="1" applyFill="1" applyBorder="1" applyAlignment="1">
      <alignment vertical="center"/>
    </xf>
    <xf numFmtId="41" fontId="4" fillId="0" borderId="11" xfId="0" applyNumberFormat="1" applyFont="1" applyBorder="1" applyAlignment="1">
      <alignment horizontal="right" vertical="center"/>
    </xf>
    <xf numFmtId="44" fontId="54" fillId="0" borderId="11" xfId="3" applyFont="1" applyFill="1" applyBorder="1" applyAlignment="1">
      <alignment vertical="center"/>
    </xf>
    <xf numFmtId="41" fontId="4" fillId="0" borderId="3" xfId="3" applyNumberFormat="1" applyFont="1" applyFill="1" applyBorder="1" applyAlignment="1">
      <alignment vertical="center"/>
    </xf>
    <xf numFmtId="44" fontId="54" fillId="0" borderId="3" xfId="3" applyFont="1" applyFill="1" applyBorder="1" applyAlignment="1">
      <alignment vertical="center"/>
    </xf>
    <xf numFmtId="41" fontId="52" fillId="3" borderId="3" xfId="3" applyNumberFormat="1" applyFont="1" applyFill="1" applyBorder="1" applyAlignment="1">
      <alignment vertical="center"/>
    </xf>
    <xf numFmtId="37" fontId="111" fillId="0" borderId="9" xfId="0" applyNumberFormat="1" applyFont="1" applyBorder="1" applyAlignment="1">
      <alignment vertical="center"/>
    </xf>
    <xf numFmtId="164" fontId="119" fillId="11" borderId="9" xfId="0" applyNumberFormat="1" applyFont="1" applyFill="1" applyBorder="1" applyAlignment="1">
      <alignment vertical="center"/>
    </xf>
    <xf numFmtId="0" fontId="4" fillId="25" borderId="3" xfId="0" applyFont="1" applyFill="1" applyBorder="1" applyAlignment="1">
      <alignment vertical="center"/>
    </xf>
    <xf numFmtId="41" fontId="4" fillId="25" borderId="3" xfId="0" applyNumberFormat="1" applyFont="1" applyFill="1" applyBorder="1" applyAlignment="1">
      <alignment vertical="center"/>
    </xf>
    <xf numFmtId="41" fontId="4" fillId="25" borderId="3" xfId="0" quotePrefix="1" applyNumberFormat="1" applyFont="1" applyFill="1" applyBorder="1" applyAlignment="1">
      <alignment horizontal="right" vertical="center"/>
    </xf>
    <xf numFmtId="41" fontId="4" fillId="0" borderId="3" xfId="0" quotePrefix="1" applyNumberFormat="1" applyFont="1" applyBorder="1" applyAlignment="1">
      <alignment vertical="center"/>
    </xf>
    <xf numFmtId="42" fontId="4" fillId="0" borderId="7" xfId="0" applyNumberFormat="1" applyFont="1" applyFill="1" applyBorder="1" applyAlignment="1">
      <alignment horizontal="center" vertical="center"/>
    </xf>
    <xf numFmtId="41" fontId="4" fillId="0" borderId="7" xfId="0" applyNumberFormat="1" applyFont="1" applyFill="1" applyBorder="1" applyAlignment="1">
      <alignment horizontal="center" vertical="center"/>
    </xf>
    <xf numFmtId="41" fontId="4" fillId="0" borderId="3" xfId="0" quotePrefix="1" applyNumberFormat="1" applyFont="1" applyFill="1" applyBorder="1" applyAlignment="1">
      <alignment vertical="center"/>
    </xf>
    <xf numFmtId="42" fontId="119" fillId="11" borderId="7" xfId="6" applyNumberFormat="1" applyFont="1" applyFill="1" applyBorder="1" applyAlignment="1">
      <alignment vertical="center"/>
    </xf>
    <xf numFmtId="167" fontId="112" fillId="11" borderId="0" xfId="6" applyNumberFormat="1" applyFont="1" applyFill="1" applyBorder="1" applyAlignment="1">
      <alignment vertical="center"/>
    </xf>
    <xf numFmtId="164" fontId="0" fillId="0" borderId="1" xfId="0" applyNumberFormat="1" applyBorder="1" applyAlignment="1">
      <alignment horizontal="right" vertical="center"/>
    </xf>
    <xf numFmtId="41" fontId="0" fillId="15" borderId="0" xfId="0" applyNumberFormat="1" applyFill="1" applyBorder="1" applyAlignment="1">
      <alignment horizontal="centerContinuous" vertical="center"/>
    </xf>
    <xf numFmtId="3" fontId="0" fillId="15" borderId="0" xfId="0" applyNumberFormat="1" applyFill="1" applyBorder="1" applyAlignment="1">
      <alignment horizontal="centerContinuous" vertical="center"/>
    </xf>
    <xf numFmtId="41" fontId="111" fillId="15" borderId="0" xfId="0" applyNumberFormat="1" applyFont="1" applyFill="1" applyBorder="1" applyAlignment="1">
      <alignment horizontal="centerContinuous" vertical="center"/>
    </xf>
    <xf numFmtId="41" fontId="111" fillId="15" borderId="0" xfId="0" applyNumberFormat="1" applyFont="1" applyFill="1" applyBorder="1" applyAlignment="1">
      <alignment vertical="center"/>
    </xf>
    <xf numFmtId="41" fontId="0" fillId="15" borderId="0" xfId="0" applyNumberFormat="1" applyFill="1" applyBorder="1" applyAlignment="1">
      <alignment vertical="center"/>
    </xf>
    <xf numFmtId="170" fontId="111" fillId="0" borderId="0" xfId="0" applyNumberFormat="1" applyFont="1" applyBorder="1" applyAlignment="1">
      <alignment vertical="center"/>
    </xf>
    <xf numFmtId="41" fontId="111" fillId="0" borderId="10" xfId="0" applyNumberFormat="1" applyFont="1" applyFill="1" applyBorder="1" applyAlignment="1">
      <alignment vertical="center"/>
    </xf>
    <xf numFmtId="41" fontId="111" fillId="0" borderId="4" xfId="0" applyNumberFormat="1" applyFont="1" applyBorder="1" applyAlignment="1">
      <alignment vertical="center"/>
    </xf>
    <xf numFmtId="9" fontId="111" fillId="0" borderId="3" xfId="0" applyNumberFormat="1" applyFont="1" applyBorder="1" applyAlignment="1">
      <alignment vertical="center"/>
    </xf>
    <xf numFmtId="9" fontId="111" fillId="0" borderId="0" xfId="0" applyNumberFormat="1" applyFont="1" applyBorder="1" applyAlignment="1">
      <alignment vertical="center"/>
    </xf>
    <xf numFmtId="9" fontId="111" fillId="0" borderId="8" xfId="0" applyNumberFormat="1" applyFont="1" applyBorder="1" applyAlignment="1">
      <alignment vertical="center"/>
    </xf>
    <xf numFmtId="41" fontId="111" fillId="0" borderId="0" xfId="0" applyNumberFormat="1" applyFont="1" applyBorder="1" applyAlignment="1">
      <alignment vertical="center"/>
    </xf>
    <xf numFmtId="41" fontId="111" fillId="0" borderId="0" xfId="0" applyNumberFormat="1" applyFont="1" applyBorder="1" applyAlignment="1">
      <alignment vertical="center"/>
    </xf>
    <xf numFmtId="41" fontId="111" fillId="0" borderId="0" xfId="0" applyNumberFormat="1" applyFont="1" applyAlignment="1">
      <alignment vertical="center"/>
    </xf>
    <xf numFmtId="0" fontId="111" fillId="0" borderId="0" xfId="0" applyFont="1" applyBorder="1"/>
    <xf numFmtId="3" fontId="111" fillId="0" borderId="0" xfId="0" applyNumberFormat="1" applyFont="1" applyBorder="1" applyAlignment="1">
      <alignment horizontal="right" vertical="center"/>
    </xf>
    <xf numFmtId="41" fontId="111" fillId="0" borderId="0" xfId="6" quotePrefix="1" applyNumberFormat="1" applyFont="1" applyBorder="1" applyAlignment="1">
      <alignment vertical="center"/>
    </xf>
    <xf numFmtId="0" fontId="111" fillId="2" borderId="0" xfId="0" applyFont="1" applyFill="1" applyBorder="1" applyAlignment="1">
      <alignment vertical="center"/>
    </xf>
    <xf numFmtId="167" fontId="111" fillId="0" borderId="3" xfId="0" applyNumberFormat="1" applyFont="1" applyFill="1" applyBorder="1" applyAlignment="1">
      <alignment vertical="center"/>
    </xf>
    <xf numFmtId="167" fontId="111" fillId="0" borderId="3" xfId="0" applyNumberFormat="1" applyFont="1" applyBorder="1" applyAlignment="1">
      <alignment vertical="center"/>
    </xf>
    <xf numFmtId="43" fontId="111" fillId="0" borderId="3" xfId="0" applyNumberFormat="1" applyFont="1" applyFill="1" applyBorder="1" applyAlignment="1">
      <alignment vertical="center"/>
    </xf>
    <xf numFmtId="43" fontId="111" fillId="0" borderId="3" xfId="0" applyNumberFormat="1" applyFont="1" applyBorder="1" applyAlignment="1">
      <alignment vertical="center"/>
    </xf>
    <xf numFmtId="167" fontId="117" fillId="0" borderId="0" xfId="0" applyNumberFormat="1" applyFont="1" applyFill="1" applyBorder="1" applyAlignment="1">
      <alignment vertical="center"/>
    </xf>
    <xf numFmtId="167" fontId="111" fillId="0" borderId="9" xfId="0" applyNumberFormat="1" applyFont="1" applyBorder="1" applyAlignment="1">
      <alignment vertical="center"/>
    </xf>
    <xf numFmtId="167" fontId="111" fillId="0" borderId="9" xfId="0" applyNumberFormat="1" applyFont="1" applyFill="1" applyBorder="1" applyAlignment="1">
      <alignment vertical="center"/>
    </xf>
    <xf numFmtId="177" fontId="111" fillId="0" borderId="3" xfId="0" applyNumberFormat="1" applyFont="1" applyBorder="1" applyAlignment="1">
      <alignment vertical="center"/>
    </xf>
    <xf numFmtId="177" fontId="111" fillId="0" borderId="3" xfId="0" applyNumberFormat="1" applyFont="1" applyFill="1" applyBorder="1" applyAlignment="1">
      <alignment vertical="center"/>
    </xf>
    <xf numFmtId="164" fontId="111" fillId="0" borderId="5" xfId="0" applyNumberFormat="1" applyFont="1" applyBorder="1" applyAlignment="1">
      <alignment vertical="center"/>
    </xf>
    <xf numFmtId="164" fontId="111" fillId="0" borderId="5" xfId="0" applyNumberFormat="1" applyFont="1" applyFill="1" applyBorder="1" applyAlignment="1">
      <alignment vertical="center"/>
    </xf>
    <xf numFmtId="44" fontId="111" fillId="0" borderId="8" xfId="0" applyNumberFormat="1" applyFont="1" applyBorder="1" applyAlignment="1">
      <alignment vertical="center"/>
    </xf>
    <xf numFmtId="44" fontId="111" fillId="0" borderId="8" xfId="0" applyNumberFormat="1" applyFont="1" applyFill="1" applyBorder="1" applyAlignment="1">
      <alignment vertical="center"/>
    </xf>
    <xf numFmtId="37" fontId="111" fillId="0" borderId="3" xfId="0" applyNumberFormat="1" applyFont="1" applyFill="1" applyBorder="1" applyAlignment="1">
      <alignment vertical="center"/>
    </xf>
    <xf numFmtId="167" fontId="111" fillId="0" borderId="3" xfId="0" applyNumberFormat="1" applyFont="1" applyBorder="1" applyAlignment="1">
      <alignment horizontal="right" vertical="center"/>
    </xf>
    <xf numFmtId="41" fontId="111" fillId="0" borderId="3" xfId="0" applyNumberFormat="1" applyFont="1" applyFill="1" applyBorder="1"/>
    <xf numFmtId="41" fontId="111" fillId="0" borderId="5" xfId="0" applyNumberFormat="1" applyFont="1" applyFill="1" applyBorder="1"/>
    <xf numFmtId="0" fontId="111" fillId="0" borderId="3" xfId="0" applyFont="1" applyFill="1" applyBorder="1" applyAlignment="1"/>
    <xf numFmtId="41" fontId="111" fillId="0" borderId="7" xfId="0" applyNumberFormat="1" applyFont="1" applyBorder="1" applyAlignment="1">
      <alignment horizontal="right" vertical="center"/>
    </xf>
    <xf numFmtId="3" fontId="111" fillId="0" borderId="0" xfId="0" applyNumberFormat="1" applyFont="1" applyFill="1" applyBorder="1" applyAlignment="1">
      <alignment horizontal="center" vertical="center"/>
    </xf>
    <xf numFmtId="41" fontId="111" fillId="0" borderId="7" xfId="0" applyNumberFormat="1" applyFont="1" applyFill="1" applyBorder="1" applyAlignment="1">
      <alignment horizontal="left" vertical="center"/>
    </xf>
    <xf numFmtId="177" fontId="111" fillId="0" borderId="3" xfId="0" applyNumberFormat="1" applyFont="1" applyFill="1" applyBorder="1" applyAlignment="1">
      <alignment horizontal="left" vertical="center"/>
    </xf>
    <xf numFmtId="41" fontId="111" fillId="0" borderId="3" xfId="0" applyNumberFormat="1" applyFont="1" applyFill="1" applyBorder="1" applyAlignment="1">
      <alignment horizontal="left" vertical="center"/>
    </xf>
    <xf numFmtId="41" fontId="111" fillId="0" borderId="7" xfId="0" applyNumberFormat="1" applyFont="1" applyFill="1" applyBorder="1" applyAlignment="1">
      <alignment horizontal="right" vertical="center"/>
    </xf>
    <xf numFmtId="41" fontId="4" fillId="0" borderId="7" xfId="0" applyNumberFormat="1" applyFont="1" applyFill="1" applyBorder="1" applyAlignment="1">
      <alignment vertical="center"/>
    </xf>
    <xf numFmtId="174" fontId="121" fillId="15" borderId="0" xfId="0" applyNumberFormat="1" applyFont="1" applyFill="1" applyBorder="1" applyAlignment="1">
      <alignment horizontal="centerContinuous" vertical="center"/>
    </xf>
    <xf numFmtId="41" fontId="111" fillId="11" borderId="3" xfId="0" applyNumberFormat="1" applyFont="1" applyFill="1" applyBorder="1" applyAlignment="1">
      <alignment horizontal="right" vertical="center"/>
    </xf>
    <xf numFmtId="41" fontId="111" fillId="11" borderId="5" xfId="0" applyNumberFormat="1" applyFont="1" applyFill="1" applyBorder="1" applyAlignment="1">
      <alignment horizontal="right" vertical="center"/>
    </xf>
    <xf numFmtId="41" fontId="111" fillId="11" borderId="7" xfId="0" applyNumberFormat="1" applyFont="1" applyFill="1" applyBorder="1" applyAlignment="1">
      <alignment horizontal="right" vertical="center"/>
    </xf>
    <xf numFmtId="41" fontId="111" fillId="0" borderId="11" xfId="0" applyNumberFormat="1" applyFont="1" applyFill="1" applyBorder="1" applyAlignment="1">
      <alignment horizontal="right" vertical="center"/>
    </xf>
    <xf numFmtId="41" fontId="111" fillId="11" borderId="7" xfId="0" applyNumberFormat="1" applyFont="1" applyFill="1" applyBorder="1" applyAlignment="1">
      <alignment horizontal="left" vertical="center"/>
    </xf>
    <xf numFmtId="41" fontId="111" fillId="11" borderId="9" xfId="0" applyNumberFormat="1" applyFont="1" applyFill="1" applyBorder="1" applyAlignment="1">
      <alignment horizontal="right" vertical="center"/>
    </xf>
    <xf numFmtId="42" fontId="111" fillId="0" borderId="0" xfId="0" applyNumberFormat="1" applyFont="1" applyBorder="1" applyAlignment="1">
      <alignment horizontal="right" vertical="center"/>
    </xf>
    <xf numFmtId="167" fontId="111" fillId="0" borderId="3" xfId="6" applyNumberFormat="1" applyFont="1" applyBorder="1" applyAlignment="1">
      <alignment vertical="center"/>
    </xf>
    <xf numFmtId="167" fontId="111" fillId="0" borderId="3" xfId="6" applyNumberFormat="1" applyFont="1" applyFill="1" applyBorder="1" applyAlignment="1">
      <alignment vertical="center"/>
    </xf>
    <xf numFmtId="41" fontId="111" fillId="11" borderId="3" xfId="0" applyNumberFormat="1" applyFont="1" applyFill="1" applyBorder="1" applyAlignment="1">
      <alignment vertical="center"/>
    </xf>
    <xf numFmtId="3" fontId="118" fillId="0" borderId="0" xfId="0" applyNumberFormat="1" applyFont="1" applyBorder="1" applyAlignment="1">
      <alignment vertical="center"/>
    </xf>
    <xf numFmtId="3" fontId="136" fillId="0" borderId="0" xfId="0" applyNumberFormat="1" applyFont="1" applyBorder="1" applyAlignment="1">
      <alignment vertical="center"/>
    </xf>
    <xf numFmtId="41" fontId="118" fillId="0" borderId="7" xfId="0" applyNumberFormat="1" applyFont="1" applyBorder="1" applyAlignment="1">
      <alignment vertical="center"/>
    </xf>
    <xf numFmtId="41" fontId="121" fillId="2" borderId="0" xfId="0" applyNumberFormat="1" applyFont="1" applyFill="1" applyBorder="1" applyAlignment="1">
      <alignment vertical="center"/>
    </xf>
    <xf numFmtId="1" fontId="111" fillId="0" borderId="3" xfId="6" applyNumberFormat="1" applyFont="1" applyFill="1" applyBorder="1" applyAlignment="1">
      <alignment vertical="center"/>
    </xf>
    <xf numFmtId="42" fontId="111" fillId="0" borderId="3" xfId="6" applyNumberFormat="1" applyFont="1" applyFill="1" applyBorder="1" applyAlignment="1">
      <alignment vertical="center"/>
    </xf>
    <xf numFmtId="41" fontId="111" fillId="0" borderId="5" xfId="6" applyNumberFormat="1" applyFont="1" applyFill="1" applyBorder="1" applyAlignment="1">
      <alignment vertical="center"/>
    </xf>
    <xf numFmtId="41" fontId="111" fillId="9" borderId="0" xfId="0" applyNumberFormat="1" applyFont="1" applyFill="1" applyBorder="1" applyAlignment="1">
      <alignment vertical="center"/>
    </xf>
    <xf numFmtId="41" fontId="111" fillId="10" borderId="10" xfId="0" applyNumberFormat="1" applyFont="1" applyFill="1" applyBorder="1" applyAlignment="1">
      <alignment vertical="center"/>
    </xf>
    <xf numFmtId="41" fontId="111" fillId="10" borderId="8" xfId="0" applyNumberFormat="1" applyFont="1" applyFill="1" applyBorder="1" applyAlignment="1">
      <alignment vertical="center"/>
    </xf>
    <xf numFmtId="41" fontId="119" fillId="11" borderId="4" xfId="0" applyNumberFormat="1" applyFont="1" applyFill="1" applyBorder="1" applyAlignment="1">
      <alignment vertical="center"/>
    </xf>
    <xf numFmtId="41" fontId="111" fillId="0" borderId="5" xfId="0" applyNumberFormat="1" applyFont="1" applyFill="1" applyBorder="1" applyAlignment="1">
      <alignment vertical="center"/>
    </xf>
    <xf numFmtId="41" fontId="111" fillId="0" borderId="0" xfId="0" applyNumberFormat="1" applyFont="1" applyBorder="1" applyAlignment="1">
      <alignment vertical="center"/>
    </xf>
    <xf numFmtId="41" fontId="111" fillId="0" borderId="0" xfId="0" applyNumberFormat="1" applyFont="1" applyBorder="1" applyAlignment="1">
      <alignment vertical="center"/>
    </xf>
    <xf numFmtId="41" fontId="2" fillId="0" borderId="7" xfId="0" applyNumberFormat="1" applyFont="1" applyBorder="1" applyAlignment="1">
      <alignment vertical="center"/>
    </xf>
    <xf numFmtId="41" fontId="2" fillId="0" borderId="0" xfId="0" applyNumberFormat="1" applyFont="1" applyBorder="1" applyAlignment="1">
      <alignment vertical="center"/>
    </xf>
    <xf numFmtId="41" fontId="119" fillId="11" borderId="8" xfId="0" applyNumberFormat="1" applyFont="1" applyFill="1" applyBorder="1" applyAlignment="1">
      <alignment horizontal="right" vertical="center"/>
    </xf>
    <xf numFmtId="41" fontId="111" fillId="11" borderId="8" xfId="0" applyNumberFormat="1" applyFont="1" applyFill="1" applyBorder="1" applyAlignment="1">
      <alignment horizontal="right" vertical="center"/>
    </xf>
    <xf numFmtId="41" fontId="2" fillId="0" borderId="3" xfId="0" applyNumberFormat="1" applyFont="1" applyFill="1" applyBorder="1" applyAlignment="1">
      <alignment horizontal="left" vertical="center"/>
    </xf>
    <xf numFmtId="41" fontId="2" fillId="0" borderId="5" xfId="0" applyNumberFormat="1" applyFont="1" applyFill="1" applyBorder="1" applyAlignment="1">
      <alignment horizontal="left" vertical="center"/>
    </xf>
    <xf numFmtId="41" fontId="2" fillId="0" borderId="8" xfId="0" applyNumberFormat="1" applyFont="1" applyFill="1" applyBorder="1" applyAlignment="1">
      <alignment horizontal="left" vertical="center"/>
    </xf>
    <xf numFmtId="41" fontId="2" fillId="2" borderId="5" xfId="0" applyNumberFormat="1" applyFont="1" applyFill="1" applyBorder="1" applyAlignment="1">
      <alignment vertical="center"/>
    </xf>
    <xf numFmtId="0" fontId="111" fillId="0" borderId="0" xfId="0" applyFont="1" applyAlignment="1">
      <alignment vertical="center"/>
    </xf>
    <xf numFmtId="41" fontId="111" fillId="0" borderId="0" xfId="0" applyNumberFormat="1" applyFont="1" applyBorder="1" applyAlignment="1">
      <alignment vertical="center"/>
    </xf>
    <xf numFmtId="41" fontId="111" fillId="0" borderId="0" xfId="0" applyNumberFormat="1" applyFont="1" applyAlignment="1">
      <alignment vertical="center"/>
    </xf>
    <xf numFmtId="0" fontId="111" fillId="0" borderId="7" xfId="0" applyFont="1" applyFill="1" applyBorder="1" applyAlignment="1">
      <alignment vertical="center"/>
    </xf>
    <xf numFmtId="41" fontId="117" fillId="0" borderId="0" xfId="0" applyNumberFormat="1" applyFont="1" applyFill="1" applyAlignment="1">
      <alignment vertical="center"/>
    </xf>
    <xf numFmtId="0" fontId="111" fillId="0" borderId="0" xfId="0" applyFont="1" applyFill="1" applyAlignment="1">
      <alignment vertical="center"/>
    </xf>
    <xf numFmtId="167" fontId="58" fillId="11" borderId="7" xfId="0" applyNumberFormat="1" applyFont="1" applyFill="1" applyBorder="1" applyAlignment="1">
      <alignment horizontal="right" vertical="center"/>
    </xf>
    <xf numFmtId="167" fontId="52" fillId="11" borderId="3" xfId="0" applyNumberFormat="1" applyFont="1" applyFill="1" applyBorder="1" applyAlignment="1">
      <alignment horizontal="right" vertical="center"/>
    </xf>
    <xf numFmtId="0" fontId="2" fillId="0" borderId="3" xfId="0" applyFont="1" applyBorder="1" applyAlignment="1">
      <alignment vertical="center"/>
    </xf>
    <xf numFmtId="41" fontId="2" fillId="0" borderId="11" xfId="0" applyNumberFormat="1" applyFont="1" applyFill="1" applyBorder="1" applyAlignment="1">
      <alignment vertical="center"/>
    </xf>
    <xf numFmtId="41" fontId="52" fillId="27" borderId="9" xfId="0" applyNumberFormat="1" applyFont="1" applyFill="1" applyBorder="1" applyAlignment="1">
      <alignment vertical="center"/>
    </xf>
    <xf numFmtId="41" fontId="52" fillId="27" borderId="7" xfId="0" applyNumberFormat="1" applyFont="1" applyFill="1" applyBorder="1" applyAlignment="1">
      <alignment horizontal="left" vertical="center"/>
    </xf>
    <xf numFmtId="41" fontId="52" fillId="27" borderId="7" xfId="0" applyNumberFormat="1" applyFont="1" applyFill="1" applyBorder="1" applyAlignment="1">
      <alignment horizontal="right" vertical="center"/>
    </xf>
    <xf numFmtId="41" fontId="52" fillId="27" borderId="4" xfId="0" applyNumberFormat="1" applyFont="1" applyFill="1" applyBorder="1" applyAlignment="1">
      <alignment horizontal="right" vertical="center"/>
    </xf>
    <xf numFmtId="41" fontId="52" fillId="27" borderId="3" xfId="0" applyNumberFormat="1" applyFont="1" applyFill="1" applyBorder="1" applyAlignment="1">
      <alignment horizontal="right" vertical="center"/>
    </xf>
    <xf numFmtId="41" fontId="52" fillId="27" borderId="5" xfId="0" applyNumberFormat="1" applyFont="1" applyFill="1" applyBorder="1" applyAlignment="1">
      <alignment horizontal="right" vertical="center"/>
    </xf>
    <xf numFmtId="167" fontId="52" fillId="27" borderId="3" xfId="0" applyNumberFormat="1" applyFont="1" applyFill="1" applyBorder="1" applyAlignment="1">
      <alignment vertical="center"/>
    </xf>
    <xf numFmtId="164" fontId="52" fillId="27" borderId="9" xfId="0" applyNumberFormat="1" applyFont="1" applyFill="1" applyBorder="1" applyAlignment="1">
      <alignment vertical="center"/>
    </xf>
    <xf numFmtId="42" fontId="52" fillId="27" borderId="7" xfId="0" applyNumberFormat="1" applyFont="1" applyFill="1" applyBorder="1" applyAlignment="1">
      <alignment vertical="center"/>
    </xf>
    <xf numFmtId="41" fontId="52" fillId="3" borderId="3" xfId="0" applyNumberFormat="1" applyFont="1" applyFill="1" applyBorder="1" applyAlignment="1">
      <alignment vertical="center"/>
    </xf>
    <xf numFmtId="41" fontId="52" fillId="3" borderId="5" xfId="0" applyNumberFormat="1" applyFont="1" applyFill="1" applyBorder="1" applyAlignment="1">
      <alignment vertical="center"/>
    </xf>
    <xf numFmtId="41" fontId="52" fillId="15" borderId="3" xfId="0" applyNumberFormat="1" applyFont="1" applyFill="1" applyBorder="1" applyAlignment="1">
      <alignment vertical="center"/>
    </xf>
    <xf numFmtId="9" fontId="52" fillId="15" borderId="3" xfId="0" applyNumberFormat="1" applyFont="1" applyFill="1" applyBorder="1" applyAlignment="1">
      <alignment vertical="center"/>
    </xf>
    <xf numFmtId="9" fontId="52" fillId="15" borderId="5" xfId="0" applyNumberFormat="1" applyFont="1" applyFill="1" applyBorder="1" applyAlignment="1">
      <alignment vertical="center"/>
    </xf>
    <xf numFmtId="41" fontId="0" fillId="0" borderId="7" xfId="0" applyNumberFormat="1" applyFont="1" applyBorder="1" applyAlignment="1">
      <alignment vertical="center"/>
    </xf>
    <xf numFmtId="41" fontId="0" fillId="0" borderId="3" xfId="0" applyNumberFormat="1" applyFont="1" applyFill="1" applyBorder="1" applyAlignment="1">
      <alignment vertical="center"/>
    </xf>
    <xf numFmtId="0" fontId="52" fillId="3" borderId="0" xfId="0" quotePrefix="1" applyNumberFormat="1" applyFont="1" applyFill="1" applyBorder="1" applyAlignment="1">
      <alignment horizontal="center" vertical="center"/>
    </xf>
    <xf numFmtId="10" fontId="119" fillId="11" borderId="3" xfId="0" applyNumberFormat="1" applyFont="1" applyFill="1" applyBorder="1" applyAlignment="1">
      <alignment vertical="center"/>
    </xf>
    <xf numFmtId="9" fontId="119" fillId="11" borderId="3" xfId="0" applyNumberFormat="1" applyFont="1" applyFill="1" applyBorder="1" applyAlignment="1">
      <alignment vertical="center"/>
    </xf>
    <xf numFmtId="6" fontId="119" fillId="11" borderId="3" xfId="0" applyNumberFormat="1" applyFont="1" applyFill="1" applyBorder="1" applyAlignment="1">
      <alignment vertical="center"/>
    </xf>
    <xf numFmtId="6" fontId="119" fillId="11" borderId="7" xfId="0" applyNumberFormat="1" applyFont="1" applyFill="1" applyBorder="1" applyAlignment="1">
      <alignment vertical="center"/>
    </xf>
    <xf numFmtId="10" fontId="119" fillId="11" borderId="7" xfId="0" applyNumberFormat="1" applyFont="1" applyFill="1" applyBorder="1" applyAlignment="1">
      <alignment vertical="center"/>
    </xf>
    <xf numFmtId="9" fontId="119" fillId="11" borderId="7" xfId="0" applyNumberFormat="1" applyFont="1" applyFill="1" applyBorder="1" applyAlignment="1">
      <alignment vertical="center"/>
    </xf>
    <xf numFmtId="41" fontId="139" fillId="11" borderId="3" xfId="0" applyNumberFormat="1" applyFont="1" applyFill="1" applyBorder="1" applyAlignment="1">
      <alignment vertical="center"/>
    </xf>
    <xf numFmtId="6" fontId="139" fillId="11" borderId="3" xfId="0" applyNumberFormat="1" applyFont="1" applyFill="1" applyBorder="1" applyAlignment="1">
      <alignment vertical="center"/>
    </xf>
    <xf numFmtId="10" fontId="139" fillId="11" borderId="3" xfId="0" applyNumberFormat="1" applyFont="1" applyFill="1" applyBorder="1" applyAlignment="1">
      <alignment vertical="center"/>
    </xf>
    <xf numFmtId="6" fontId="139" fillId="11" borderId="7" xfId="0" applyNumberFormat="1" applyFont="1" applyFill="1" applyBorder="1" applyAlignment="1">
      <alignment vertical="center"/>
    </xf>
    <xf numFmtId="9" fontId="139" fillId="11" borderId="7" xfId="0" applyNumberFormat="1" applyFont="1" applyFill="1" applyBorder="1" applyAlignment="1">
      <alignment vertical="center"/>
    </xf>
    <xf numFmtId="41" fontId="53" fillId="11" borderId="1" xfId="0" applyNumberFormat="1" applyFont="1" applyFill="1" applyBorder="1" applyAlignment="1">
      <alignment horizontal="left" vertical="center"/>
    </xf>
    <xf numFmtId="167" fontId="52" fillId="3" borderId="7" xfId="6" applyNumberFormat="1" applyFont="1" applyFill="1" applyBorder="1" applyAlignment="1">
      <alignment vertical="center"/>
    </xf>
    <xf numFmtId="41" fontId="77" fillId="3" borderId="7" xfId="6" applyNumberFormat="1" applyFont="1" applyFill="1" applyBorder="1" applyAlignment="1">
      <alignment vertical="center"/>
    </xf>
    <xf numFmtId="167" fontId="19" fillId="3" borderId="7" xfId="6" applyNumberFormat="1" applyFont="1" applyFill="1" applyBorder="1" applyAlignment="1">
      <alignment vertical="center"/>
    </xf>
    <xf numFmtId="41" fontId="52" fillId="11" borderId="7" xfId="6" applyNumberFormat="1" applyFont="1" applyFill="1" applyBorder="1" applyAlignment="1">
      <alignment vertical="center"/>
    </xf>
    <xf numFmtId="41" fontId="106" fillId="0" borderId="0" xfId="0" applyNumberFormat="1" applyFont="1" applyBorder="1" applyAlignment="1">
      <alignment vertical="center"/>
    </xf>
    <xf numFmtId="41" fontId="53" fillId="11" borderId="1" xfId="0" applyNumberFormat="1" applyFont="1" applyFill="1" applyBorder="1" applyAlignment="1">
      <alignment horizontal="center" vertical="center"/>
    </xf>
    <xf numFmtId="41" fontId="52" fillId="3" borderId="3" xfId="0" applyNumberFormat="1" applyFont="1" applyFill="1" applyBorder="1" applyAlignment="1">
      <alignment vertical="center"/>
    </xf>
    <xf numFmtId="37" fontId="19" fillId="3" borderId="3" xfId="0" quotePrefix="1" applyNumberFormat="1" applyFont="1" applyFill="1" applyBorder="1" applyAlignment="1">
      <alignment vertical="center"/>
    </xf>
    <xf numFmtId="37" fontId="0" fillId="0" borderId="3" xfId="0" applyNumberFormat="1" applyFont="1" applyBorder="1" applyAlignment="1">
      <alignment vertical="center"/>
    </xf>
    <xf numFmtId="37" fontId="0" fillId="0" borderId="5" xfId="0" applyNumberFormat="1" applyFont="1" applyBorder="1" applyAlignment="1">
      <alignment vertical="center"/>
    </xf>
    <xf numFmtId="3" fontId="4" fillId="0" borderId="3" xfId="0" applyNumberFormat="1" applyFont="1" applyBorder="1" applyAlignment="1">
      <alignment vertical="center" wrapText="1"/>
    </xf>
    <xf numFmtId="0" fontId="0" fillId="0" borderId="3" xfId="0" applyBorder="1" applyAlignment="1">
      <alignment vertical="center" wrapText="1"/>
    </xf>
    <xf numFmtId="41" fontId="20" fillId="0" borderId="0" xfId="0" applyNumberFormat="1" applyFont="1" applyBorder="1" applyAlignment="1">
      <alignment horizontal="center" vertical="center" wrapText="1"/>
    </xf>
    <xf numFmtId="0" fontId="0" fillId="0" borderId="0" xfId="0" applyAlignment="1">
      <alignment horizontal="center" vertical="center" wrapText="1"/>
    </xf>
    <xf numFmtId="3" fontId="4" fillId="0" borderId="5" xfId="0" applyNumberFormat="1" applyFont="1" applyBorder="1" applyAlignment="1">
      <alignment vertical="center" wrapText="1"/>
    </xf>
    <xf numFmtId="0" fontId="4" fillId="0" borderId="5" xfId="0" applyFont="1" applyBorder="1" applyAlignment="1">
      <alignment vertical="center" wrapText="1"/>
    </xf>
    <xf numFmtId="1" fontId="52" fillId="3" borderId="5" xfId="0" applyNumberFormat="1" applyFont="1" applyFill="1" applyBorder="1" applyAlignment="1">
      <alignment vertical="top" wrapText="1"/>
    </xf>
    <xf numFmtId="1" fontId="52" fillId="3" borderId="0" xfId="0" applyNumberFormat="1" applyFont="1" applyFill="1" applyAlignment="1">
      <alignment vertical="top" wrapText="1"/>
    </xf>
    <xf numFmtId="1" fontId="0" fillId="0" borderId="0" xfId="0" applyNumberFormat="1" applyAlignment="1">
      <alignment wrapText="1"/>
    </xf>
    <xf numFmtId="1" fontId="0" fillId="0" borderId="7" xfId="0" applyNumberFormat="1" applyBorder="1" applyAlignment="1">
      <alignment wrapText="1"/>
    </xf>
    <xf numFmtId="1" fontId="52" fillId="3" borderId="4" xfId="0" applyNumberFormat="1" applyFont="1" applyFill="1" applyBorder="1" applyAlignment="1">
      <alignment vertical="top" wrapText="1"/>
    </xf>
    <xf numFmtId="1" fontId="138" fillId="3" borderId="5" xfId="0" applyNumberFormat="1" applyFont="1" applyFill="1" applyBorder="1" applyAlignment="1">
      <alignment vertical="top" wrapText="1"/>
    </xf>
    <xf numFmtId="41" fontId="111" fillId="25" borderId="0" xfId="6" applyNumberFormat="1" applyFont="1" applyFill="1" applyBorder="1" applyAlignment="1">
      <alignment vertical="center"/>
    </xf>
    <xf numFmtId="41" fontId="111" fillId="25" borderId="7" xfId="6" applyNumberFormat="1" applyFont="1" applyFill="1" applyBorder="1" applyAlignment="1">
      <alignment vertical="center"/>
    </xf>
    <xf numFmtId="41" fontId="111" fillId="25" borderId="0" xfId="0" applyNumberFormat="1" applyFont="1" applyFill="1" applyBorder="1" applyAlignment="1">
      <alignment horizontal="right" vertical="center"/>
    </xf>
    <xf numFmtId="41" fontId="111" fillId="25" borderId="0" xfId="0" applyNumberFormat="1" applyFont="1" applyFill="1" applyAlignment="1">
      <alignment horizontal="right" vertical="center"/>
    </xf>
    <xf numFmtId="41" fontId="111" fillId="25" borderId="7" xfId="0" applyNumberFormat="1" applyFont="1" applyFill="1" applyBorder="1" applyAlignment="1">
      <alignment horizontal="right" vertical="center"/>
    </xf>
    <xf numFmtId="41" fontId="111" fillId="25" borderId="0" xfId="0" applyNumberFormat="1" applyFont="1" applyFill="1" applyBorder="1" applyAlignment="1">
      <alignment vertical="center"/>
    </xf>
    <xf numFmtId="41" fontId="111" fillId="25" borderId="0" xfId="0" applyNumberFormat="1" applyFont="1" applyFill="1" applyAlignment="1">
      <alignment vertical="center"/>
    </xf>
    <xf numFmtId="41" fontId="111" fillId="25" borderId="7" xfId="0" applyNumberFormat="1" applyFont="1" applyFill="1" applyBorder="1" applyAlignment="1">
      <alignment vertical="center"/>
    </xf>
    <xf numFmtId="41" fontId="111" fillId="25" borderId="0" xfId="1" applyNumberFormat="1" applyFont="1" applyFill="1" applyBorder="1" applyAlignment="1">
      <alignment vertical="center"/>
    </xf>
    <xf numFmtId="41" fontId="111" fillId="25" borderId="7" xfId="1" applyNumberFormat="1" applyFont="1" applyFill="1" applyBorder="1" applyAlignment="1">
      <alignment vertical="center"/>
    </xf>
    <xf numFmtId="41" fontId="31" fillId="0" borderId="0" xfId="0" applyNumberFormat="1" applyFont="1" applyFill="1" applyBorder="1" applyAlignment="1">
      <alignment horizontal="center" vertical="center" wrapText="1"/>
    </xf>
    <xf numFmtId="0" fontId="21" fillId="0" borderId="7" xfId="0" applyFont="1" applyFill="1" applyBorder="1" applyAlignment="1">
      <alignment wrapText="1"/>
    </xf>
    <xf numFmtId="43" fontId="53" fillId="11" borderId="37" xfId="0" applyNumberFormat="1" applyFont="1" applyFill="1" applyBorder="1" applyAlignment="1">
      <alignment horizontal="center" wrapText="1"/>
    </xf>
    <xf numFmtId="0" fontId="0" fillId="11" borderId="38" xfId="0" applyFill="1" applyBorder="1" applyAlignment="1">
      <alignment horizontal="center" wrapText="1"/>
    </xf>
    <xf numFmtId="43" fontId="8" fillId="10" borderId="37" xfId="0" applyNumberFormat="1" applyFont="1" applyFill="1" applyBorder="1" applyAlignment="1">
      <alignment horizontal="center" wrapText="1"/>
    </xf>
    <xf numFmtId="0" fontId="0" fillId="10" borderId="38" xfId="0" applyFill="1" applyBorder="1" applyAlignment="1">
      <alignment horizontal="center" wrapText="1"/>
    </xf>
    <xf numFmtId="174" fontId="52" fillId="11" borderId="0" xfId="0" applyNumberFormat="1" applyFont="1" applyFill="1" applyBorder="1" applyAlignment="1">
      <alignment vertical="top" wrapText="1"/>
    </xf>
    <xf numFmtId="174" fontId="52" fillId="11" borderId="0" xfId="0" applyNumberFormat="1" applyFont="1" applyFill="1" applyAlignment="1">
      <alignment vertical="top" wrapText="1"/>
    </xf>
    <xf numFmtId="174" fontId="52" fillId="11" borderId="7" xfId="0" applyNumberFormat="1" applyFont="1" applyFill="1" applyBorder="1" applyAlignment="1">
      <alignment vertical="top" wrapText="1"/>
    </xf>
    <xf numFmtId="174" fontId="52" fillId="3" borderId="5" xfId="0" applyNumberFormat="1" applyFont="1" applyFill="1" applyBorder="1" applyAlignment="1">
      <alignment vertical="top" wrapText="1"/>
    </xf>
    <xf numFmtId="174" fontId="52" fillId="3" borderId="0" xfId="0" applyNumberFormat="1" applyFont="1" applyFill="1" applyAlignment="1">
      <alignment vertical="top" wrapText="1"/>
    </xf>
    <xf numFmtId="174" fontId="52" fillId="3" borderId="7" xfId="0" applyNumberFormat="1" applyFont="1" applyFill="1" applyBorder="1" applyAlignment="1">
      <alignment vertical="top" wrapText="1"/>
    </xf>
    <xf numFmtId="41" fontId="111" fillId="25" borderId="0" xfId="6" applyNumberFormat="1" applyFont="1" applyFill="1" applyAlignment="1">
      <alignment vertical="center"/>
    </xf>
    <xf numFmtId="41" fontId="5" fillId="0" borderId="0" xfId="0" applyNumberFormat="1" applyFont="1" applyFill="1" applyBorder="1" applyAlignment="1">
      <alignment horizontal="center" vertical="center"/>
    </xf>
    <xf numFmtId="0" fontId="4" fillId="0" borderId="0" xfId="0" applyFont="1" applyAlignment="1">
      <alignment horizontal="center" vertical="center"/>
    </xf>
    <xf numFmtId="0" fontId="4" fillId="10" borderId="38" xfId="0" applyFont="1" applyFill="1" applyBorder="1" applyAlignment="1">
      <alignment horizontal="center" wrapText="1"/>
    </xf>
    <xf numFmtId="174" fontId="138" fillId="3" borderId="5" xfId="0" applyNumberFormat="1" applyFont="1" applyFill="1" applyBorder="1" applyAlignment="1">
      <alignment vertical="top" wrapText="1"/>
    </xf>
    <xf numFmtId="41" fontId="28" fillId="11" borderId="5" xfId="0" applyNumberFormat="1" applyFont="1" applyFill="1" applyBorder="1" applyAlignment="1">
      <alignment horizontal="left" vertical="top" wrapText="1"/>
    </xf>
    <xf numFmtId="0" fontId="28" fillId="0" borderId="5" xfId="0" applyFont="1" applyBorder="1" applyAlignment="1">
      <alignment vertical="top" wrapText="1"/>
    </xf>
    <xf numFmtId="0" fontId="28" fillId="0" borderId="0" xfId="0" applyFont="1" applyAlignment="1">
      <alignment vertical="top" wrapText="1"/>
    </xf>
    <xf numFmtId="0" fontId="28" fillId="0" borderId="7" xfId="0" applyFont="1" applyBorder="1" applyAlignment="1">
      <alignment vertical="top" wrapText="1"/>
    </xf>
    <xf numFmtId="2" fontId="119" fillId="26" borderId="0" xfId="0" applyNumberFormat="1" applyFont="1" applyFill="1" applyBorder="1" applyAlignment="1">
      <alignment vertical="top" wrapText="1"/>
    </xf>
    <xf numFmtId="2" fontId="119" fillId="26" borderId="0" xfId="0" applyNumberFormat="1" applyFont="1" applyFill="1" applyAlignment="1">
      <alignment vertical="top" wrapText="1"/>
    </xf>
    <xf numFmtId="2" fontId="119" fillId="26" borderId="7" xfId="0" applyNumberFormat="1" applyFont="1" applyFill="1" applyBorder="1" applyAlignment="1">
      <alignment vertical="top" wrapText="1"/>
    </xf>
    <xf numFmtId="1" fontId="119" fillId="26" borderId="12" xfId="0" applyNumberFormat="1" applyFont="1" applyFill="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41" fontId="5" fillId="0" borderId="0" xfId="0" applyNumberFormat="1" applyFont="1" applyFill="1" applyBorder="1" applyAlignment="1">
      <alignment horizontal="center" wrapText="1"/>
    </xf>
    <xf numFmtId="0" fontId="0" fillId="0" borderId="0" xfId="0" applyAlignment="1">
      <alignment horizontal="center" wrapText="1"/>
    </xf>
    <xf numFmtId="41" fontId="111" fillId="10" borderId="5" xfId="0" applyNumberFormat="1" applyFont="1" applyFill="1" applyBorder="1" applyAlignment="1">
      <alignment vertical="center"/>
    </xf>
    <xf numFmtId="0" fontId="111" fillId="10" borderId="0" xfId="0" applyFont="1" applyFill="1" applyAlignment="1">
      <alignment vertical="center"/>
    </xf>
    <xf numFmtId="0" fontId="111" fillId="10" borderId="7" xfId="0" applyFont="1" applyFill="1" applyBorder="1" applyAlignment="1">
      <alignment vertical="center"/>
    </xf>
    <xf numFmtId="41" fontId="111" fillId="0" borderId="5" xfId="0" applyNumberFormat="1" applyFont="1" applyFill="1" applyBorder="1" applyAlignment="1">
      <alignment vertical="center"/>
    </xf>
    <xf numFmtId="0" fontId="111" fillId="0" borderId="0" xfId="0" applyFont="1" applyAlignment="1">
      <alignment vertical="center"/>
    </xf>
    <xf numFmtId="0" fontId="111" fillId="0" borderId="7" xfId="0" applyFont="1" applyBorder="1" applyAlignment="1">
      <alignment vertical="center"/>
    </xf>
    <xf numFmtId="3" fontId="4" fillId="0" borderId="7" xfId="0" applyNumberFormat="1" applyFont="1" applyFill="1" applyBorder="1" applyAlignment="1">
      <alignment vertical="center"/>
    </xf>
    <xf numFmtId="3" fontId="4" fillId="0" borderId="3" xfId="0" applyNumberFormat="1" applyFont="1" applyFill="1" applyBorder="1" applyAlignment="1">
      <alignment vertical="center"/>
    </xf>
    <xf numFmtId="3" fontId="4" fillId="0" borderId="3" xfId="0" applyNumberFormat="1" applyFont="1" applyBorder="1" applyAlignment="1">
      <alignment vertical="center"/>
    </xf>
    <xf numFmtId="41" fontId="118" fillId="0" borderId="12" xfId="0" applyNumberFormat="1" applyFont="1" applyBorder="1" applyAlignment="1">
      <alignment vertical="center"/>
    </xf>
    <xf numFmtId="41" fontId="111" fillId="0" borderId="12" xfId="0" applyNumberFormat="1" applyFont="1" applyBorder="1" applyAlignment="1">
      <alignment vertical="center"/>
    </xf>
    <xf numFmtId="37" fontId="4" fillId="0" borderId="0" xfId="0" applyNumberFormat="1" applyFont="1" applyBorder="1" applyAlignment="1">
      <alignment vertical="center"/>
    </xf>
    <xf numFmtId="41" fontId="111" fillId="0" borderId="0" xfId="0" applyNumberFormat="1" applyFont="1" applyBorder="1" applyAlignment="1">
      <alignment vertical="center"/>
    </xf>
    <xf numFmtId="41" fontId="111" fillId="0" borderId="0" xfId="0" applyNumberFormat="1" applyFont="1" applyAlignment="1">
      <alignment vertical="center"/>
    </xf>
    <xf numFmtId="174" fontId="52" fillId="3" borderId="0" xfId="0" applyNumberFormat="1" applyFont="1" applyFill="1" applyBorder="1" applyAlignment="1">
      <alignment vertical="top" wrapText="1"/>
    </xf>
    <xf numFmtId="174" fontId="52" fillId="0" borderId="0" xfId="0" applyNumberFormat="1" applyFont="1" applyAlignment="1">
      <alignment vertical="top" wrapText="1"/>
    </xf>
    <xf numFmtId="174" fontId="52" fillId="0" borderId="7" xfId="0" applyNumberFormat="1" applyFont="1" applyBorder="1" applyAlignment="1">
      <alignment vertical="top" wrapText="1"/>
    </xf>
    <xf numFmtId="41" fontId="111" fillId="0" borderId="3" xfId="0" applyNumberFormat="1" applyFont="1" applyFill="1" applyBorder="1" applyAlignment="1">
      <alignment horizontal="left"/>
    </xf>
    <xf numFmtId="41" fontId="111" fillId="0" borderId="11" xfId="0" applyNumberFormat="1" applyFont="1" applyBorder="1" applyAlignment="1">
      <alignment horizontal="right" vertical="center"/>
    </xf>
    <xf numFmtId="41" fontId="111" fillId="0" borderId="11" xfId="0" applyNumberFormat="1" applyFont="1" applyBorder="1" applyAlignment="1">
      <alignment horizontal="right"/>
    </xf>
    <xf numFmtId="167" fontId="111" fillId="0" borderId="3" xfId="0" applyNumberFormat="1" applyFont="1" applyFill="1" applyBorder="1" applyAlignment="1">
      <alignment horizontal="right"/>
    </xf>
    <xf numFmtId="3" fontId="111" fillId="0" borderId="3" xfId="0" applyNumberFormat="1" applyFont="1" applyBorder="1" applyAlignment="1">
      <alignment horizontal="right" vertical="center"/>
    </xf>
    <xf numFmtId="0" fontId="111" fillId="0" borderId="3" xfId="0" applyFont="1" applyBorder="1" applyAlignment="1">
      <alignment horizontal="right" vertical="center"/>
    </xf>
    <xf numFmtId="3" fontId="111" fillId="0" borderId="5" xfId="0" applyNumberFormat="1" applyFont="1" applyBorder="1" applyAlignment="1">
      <alignment horizontal="right" vertical="center"/>
    </xf>
    <xf numFmtId="0" fontId="111" fillId="0" borderId="5" xfId="0" applyFont="1" applyBorder="1" applyAlignment="1">
      <alignment horizontal="right" vertical="center"/>
    </xf>
    <xf numFmtId="169" fontId="111" fillId="0" borderId="7" xfId="0" applyNumberFormat="1" applyFont="1" applyFill="1" applyBorder="1" applyAlignment="1">
      <alignment horizontal="right" vertical="center"/>
    </xf>
    <xf numFmtId="0" fontId="111" fillId="0" borderId="7" xfId="0" applyFont="1" applyBorder="1" applyAlignment="1">
      <alignment horizontal="right" vertical="center"/>
    </xf>
    <xf numFmtId="4" fontId="111" fillId="0" borderId="7" xfId="0" applyNumberFormat="1" applyFont="1" applyFill="1" applyBorder="1" applyAlignment="1">
      <alignment horizontal="right" vertical="center"/>
    </xf>
    <xf numFmtId="41" fontId="111" fillId="0" borderId="3" xfId="0" applyNumberFormat="1" applyFont="1" applyFill="1" applyBorder="1" applyAlignment="1">
      <alignment horizontal="left" vertical="center"/>
    </xf>
    <xf numFmtId="41" fontId="111" fillId="0" borderId="7" xfId="0" applyNumberFormat="1" applyFont="1" applyBorder="1" applyAlignment="1">
      <alignment horizontal="right" vertical="center"/>
    </xf>
    <xf numFmtId="41" fontId="111" fillId="0" borderId="7" xfId="0" applyNumberFormat="1" applyFont="1" applyFill="1" applyBorder="1" applyAlignment="1">
      <alignment horizontal="right" vertical="center"/>
    </xf>
    <xf numFmtId="41" fontId="111" fillId="0" borderId="3" xfId="0" applyNumberFormat="1" applyFont="1" applyBorder="1" applyAlignment="1">
      <alignment horizontal="right" vertical="center"/>
    </xf>
    <xf numFmtId="41" fontId="111" fillId="0" borderId="3" xfId="0" applyNumberFormat="1" applyFont="1" applyBorder="1" applyAlignment="1">
      <alignment horizontal="right"/>
    </xf>
    <xf numFmtId="41" fontId="111" fillId="0" borderId="9" xfId="0" applyNumberFormat="1" applyFont="1" applyFill="1" applyBorder="1" applyAlignment="1">
      <alignment horizontal="left"/>
    </xf>
    <xf numFmtId="41" fontId="111" fillId="0" borderId="11" xfId="0" applyNumberFormat="1" applyFont="1" applyFill="1" applyBorder="1" applyAlignment="1">
      <alignment horizontal="left"/>
    </xf>
    <xf numFmtId="164" fontId="111" fillId="0" borderId="9" xfId="0" applyNumberFormat="1" applyFont="1" applyBorder="1" applyAlignment="1">
      <alignment horizontal="right" vertical="center"/>
    </xf>
    <xf numFmtId="164" fontId="111" fillId="0" borderId="9" xfId="0" applyNumberFormat="1" applyFont="1" applyBorder="1" applyAlignment="1">
      <alignment horizontal="right"/>
    </xf>
    <xf numFmtId="164" fontId="111" fillId="0" borderId="9" xfId="0" applyNumberFormat="1" applyFont="1" applyFill="1" applyBorder="1" applyAlignment="1">
      <alignment horizontal="left"/>
    </xf>
    <xf numFmtId="41" fontId="111" fillId="0" borderId="9" xfId="0" applyNumberFormat="1" applyFont="1" applyBorder="1" applyAlignment="1">
      <alignment horizontal="right" vertical="center"/>
    </xf>
    <xf numFmtId="41" fontId="111" fillId="0" borderId="9" xfId="0" applyNumberFormat="1" applyFont="1" applyBorder="1" applyAlignment="1">
      <alignment horizontal="right"/>
    </xf>
    <xf numFmtId="44" fontId="111" fillId="0" borderId="8" xfId="0" applyNumberFormat="1" applyFont="1" applyBorder="1" applyAlignment="1">
      <alignment horizontal="left"/>
    </xf>
    <xf numFmtId="3" fontId="111" fillId="0" borderId="39" xfId="0" applyNumberFormat="1" applyFont="1" applyBorder="1" applyAlignment="1">
      <alignment vertical="center"/>
    </xf>
    <xf numFmtId="0" fontId="111" fillId="0" borderId="39" xfId="0" applyFont="1" applyBorder="1" applyAlignment="1">
      <alignment vertical="center"/>
    </xf>
    <xf numFmtId="37" fontId="4" fillId="0" borderId="3" xfId="0" applyNumberFormat="1" applyFont="1" applyFill="1" applyBorder="1" applyAlignment="1">
      <alignment vertical="center"/>
    </xf>
    <xf numFmtId="0" fontId="0" fillId="0" borderId="3" xfId="0" applyFill="1" applyBorder="1" applyAlignment="1"/>
    <xf numFmtId="0" fontId="0" fillId="0" borderId="3" xfId="0" applyFill="1" applyBorder="1" applyAlignment="1">
      <alignment vertical="center"/>
    </xf>
    <xf numFmtId="3" fontId="4" fillId="0" borderId="3" xfId="0" applyNumberFormat="1" applyFont="1" applyBorder="1" applyAlignment="1">
      <alignment horizontal="right" vertical="center"/>
    </xf>
    <xf numFmtId="0" fontId="0" fillId="0" borderId="3" xfId="0" applyBorder="1" applyAlignment="1">
      <alignment horizontal="right" vertical="center"/>
    </xf>
    <xf numFmtId="44" fontId="111" fillId="0" borderId="8" xfId="0" applyNumberFormat="1" applyFont="1" applyBorder="1" applyAlignment="1">
      <alignment horizontal="right" vertical="center"/>
    </xf>
    <xf numFmtId="44" fontId="111" fillId="0" borderId="8" xfId="0" applyNumberFormat="1" applyFont="1" applyBorder="1" applyAlignment="1">
      <alignment horizontal="right"/>
    </xf>
    <xf numFmtId="167" fontId="111" fillId="0" borderId="9" xfId="0" applyNumberFormat="1" applyFont="1" applyBorder="1" applyAlignment="1">
      <alignment horizontal="right" vertical="center"/>
    </xf>
    <xf numFmtId="167" fontId="111" fillId="0" borderId="9" xfId="0" applyNumberFormat="1" applyFont="1" applyBorder="1" applyAlignment="1">
      <alignment horizontal="right"/>
    </xf>
    <xf numFmtId="41" fontId="111" fillId="0" borderId="6" xfId="0" applyNumberFormat="1" applyFont="1" applyBorder="1" applyAlignment="1">
      <alignment horizontal="right" vertical="center"/>
    </xf>
    <xf numFmtId="41" fontId="111" fillId="0" borderId="6" xfId="0" applyNumberFormat="1" applyFont="1" applyBorder="1" applyAlignment="1">
      <alignment horizontal="right"/>
    </xf>
    <xf numFmtId="177" fontId="111" fillId="0" borderId="3" xfId="0" applyNumberFormat="1" applyFont="1" applyBorder="1" applyAlignment="1">
      <alignment horizontal="right" vertical="center"/>
    </xf>
    <xf numFmtId="177" fontId="111" fillId="0" borderId="3" xfId="0" applyNumberFormat="1" applyFont="1" applyBorder="1" applyAlignment="1">
      <alignment horizontal="right"/>
    </xf>
    <xf numFmtId="3" fontId="0" fillId="0" borderId="3" xfId="0" applyNumberFormat="1" applyBorder="1" applyAlignment="1">
      <alignment vertical="center" wrapText="1"/>
    </xf>
    <xf numFmtId="37" fontId="4" fillId="0" borderId="9" xfId="0" applyNumberFormat="1" applyFont="1" applyBorder="1" applyAlignment="1">
      <alignment vertical="center" wrapText="1"/>
    </xf>
    <xf numFmtId="0" fontId="0" fillId="0" borderId="9" xfId="0" applyBorder="1" applyAlignment="1">
      <alignment vertical="center" wrapText="1"/>
    </xf>
    <xf numFmtId="0" fontId="7" fillId="0" borderId="37" xfId="0" applyFont="1" applyBorder="1" applyAlignment="1">
      <alignment vertical="top" wrapText="1"/>
    </xf>
    <xf numFmtId="0" fontId="0" fillId="0" borderId="38" xfId="0" applyBorder="1" applyAlignment="1">
      <alignment vertical="top" wrapText="1"/>
    </xf>
    <xf numFmtId="0" fontId="3" fillId="2" borderId="13" xfId="0" applyFont="1" applyFill="1" applyBorder="1" applyAlignment="1">
      <alignment horizontal="center" vertical="center"/>
    </xf>
    <xf numFmtId="0" fontId="8" fillId="2" borderId="14" xfId="0" applyFont="1" applyFill="1" applyBorder="1" applyAlignment="1">
      <alignment vertical="center"/>
    </xf>
    <xf numFmtId="0" fontId="8" fillId="2" borderId="15" xfId="0" applyFont="1" applyFill="1" applyBorder="1" applyAlignment="1">
      <alignment vertical="center"/>
    </xf>
    <xf numFmtId="0" fontId="3" fillId="2" borderId="37" xfId="0" applyFont="1" applyFill="1" applyBorder="1" applyAlignment="1">
      <alignment horizontal="center" vertical="top" wrapText="1"/>
    </xf>
    <xf numFmtId="0" fontId="3" fillId="2" borderId="38" xfId="0" applyFont="1" applyFill="1" applyBorder="1" applyAlignment="1">
      <alignment horizontal="center" vertical="top" wrapText="1"/>
    </xf>
    <xf numFmtId="0" fontId="8" fillId="2" borderId="38" xfId="0" applyFont="1" applyFill="1" applyBorder="1" applyAlignment="1">
      <alignment horizontal="center" vertical="top" wrapText="1"/>
    </xf>
    <xf numFmtId="41" fontId="4" fillId="0" borderId="7" xfId="0" applyNumberFormat="1" applyFont="1" applyBorder="1" applyAlignment="1">
      <alignment vertical="center"/>
    </xf>
    <xf numFmtId="0" fontId="0" fillId="0" borderId="7" xfId="0" applyBorder="1" applyAlignment="1">
      <alignment vertical="center"/>
    </xf>
    <xf numFmtId="41" fontId="4" fillId="0" borderId="9" xfId="0" applyNumberFormat="1" applyFont="1" applyBorder="1" applyAlignment="1">
      <alignment vertical="center"/>
    </xf>
    <xf numFmtId="0" fontId="0" fillId="0" borderId="9" xfId="0" applyBorder="1" applyAlignment="1">
      <alignment vertical="center"/>
    </xf>
    <xf numFmtId="41" fontId="4" fillId="0" borderId="11" xfId="0" applyNumberFormat="1" applyFont="1" applyBorder="1" applyAlignment="1">
      <alignment vertical="center"/>
    </xf>
    <xf numFmtId="0" fontId="0" fillId="0" borderId="11" xfId="0" applyBorder="1" applyAlignment="1">
      <alignment vertical="center"/>
    </xf>
    <xf numFmtId="37" fontId="4" fillId="10" borderId="10" xfId="0" applyNumberFormat="1" applyFont="1" applyFill="1" applyBorder="1" applyAlignment="1">
      <alignment vertical="center"/>
    </xf>
    <xf numFmtId="0" fontId="0" fillId="10" borderId="10" xfId="0" applyFill="1" applyBorder="1" applyAlignment="1">
      <alignment vertical="center"/>
    </xf>
    <xf numFmtId="41" fontId="4" fillId="0" borderId="7" xfId="0" applyNumberFormat="1" applyFont="1" applyFill="1" applyBorder="1" applyAlignment="1">
      <alignment vertical="center"/>
    </xf>
    <xf numFmtId="41" fontId="4" fillId="0" borderId="9" xfId="0" applyNumberFormat="1" applyFont="1" applyFill="1" applyBorder="1" applyAlignment="1">
      <alignment vertical="center"/>
    </xf>
    <xf numFmtId="41" fontId="4" fillId="0" borderId="11" xfId="0" applyNumberFormat="1" applyFont="1" applyFill="1" applyBorder="1" applyAlignment="1">
      <alignment vertical="center"/>
    </xf>
    <xf numFmtId="0" fontId="4" fillId="10" borderId="0" xfId="0" applyFont="1" applyFill="1" applyBorder="1" applyAlignment="1">
      <alignment vertical="center"/>
    </xf>
    <xf numFmtId="0" fontId="0" fillId="10" borderId="0" xfId="0" applyFill="1" applyAlignment="1">
      <alignment vertical="center"/>
    </xf>
    <xf numFmtId="41" fontId="54" fillId="10" borderId="8" xfId="0" applyNumberFormat="1" applyFont="1" applyFill="1" applyBorder="1" applyAlignment="1">
      <alignment vertical="center"/>
    </xf>
    <xf numFmtId="0" fontId="0" fillId="10" borderId="8" xfId="0" applyFill="1" applyBorder="1" applyAlignment="1">
      <alignment vertical="center"/>
    </xf>
    <xf numFmtId="41" fontId="54" fillId="0" borderId="7" xfId="0" applyNumberFormat="1" applyFont="1" applyBorder="1" applyAlignment="1">
      <alignment vertical="center"/>
    </xf>
    <xf numFmtId="0" fontId="54" fillId="0" borderId="7" xfId="0" applyFont="1" applyBorder="1" applyAlignment="1">
      <alignment vertical="center"/>
    </xf>
    <xf numFmtId="41" fontId="4" fillId="10" borderId="8" xfId="0" applyNumberFormat="1" applyFont="1" applyFill="1" applyBorder="1" applyAlignment="1">
      <alignment vertical="center"/>
    </xf>
    <xf numFmtId="0" fontId="10" fillId="5" borderId="0" xfId="0" applyFont="1" applyFill="1" applyBorder="1" applyAlignment="1">
      <alignment vertical="center"/>
    </xf>
    <xf numFmtId="0" fontId="0" fillId="5" borderId="0" xfId="0" applyFill="1" applyAlignment="1">
      <alignment vertical="center"/>
    </xf>
    <xf numFmtId="41" fontId="54" fillId="0" borderId="9" xfId="0" applyNumberFormat="1" applyFont="1" applyBorder="1" applyAlignment="1">
      <alignment vertical="center"/>
    </xf>
    <xf numFmtId="0" fontId="54" fillId="0" borderId="9" xfId="0" applyFont="1" applyBorder="1" applyAlignment="1">
      <alignment vertical="center"/>
    </xf>
    <xf numFmtId="41" fontId="54" fillId="0" borderId="7" xfId="0" applyNumberFormat="1" applyFont="1" applyFill="1" applyBorder="1" applyAlignment="1">
      <alignment vertical="center"/>
    </xf>
    <xf numFmtId="41" fontId="54" fillId="0" borderId="11" xfId="0" applyNumberFormat="1" applyFont="1" applyBorder="1" applyAlignment="1">
      <alignment vertical="center"/>
    </xf>
    <xf numFmtId="0" fontId="54" fillId="0" borderId="11" xfId="0" applyFont="1" applyBorder="1" applyAlignment="1">
      <alignment vertical="center"/>
    </xf>
    <xf numFmtId="0" fontId="54" fillId="10" borderId="8" xfId="0" applyFont="1" applyFill="1" applyBorder="1" applyAlignment="1">
      <alignment vertical="center"/>
    </xf>
    <xf numFmtId="41" fontId="54" fillId="0" borderId="11" xfId="0" applyNumberFormat="1" applyFont="1" applyFill="1" applyBorder="1" applyAlignment="1">
      <alignment vertical="center"/>
    </xf>
    <xf numFmtId="41" fontId="54" fillId="0" borderId="9" xfId="0" applyNumberFormat="1" applyFont="1" applyFill="1" applyBorder="1" applyAlignment="1">
      <alignment vertical="center"/>
    </xf>
  </cellXfs>
  <cellStyles count="16">
    <cellStyle name="Comma" xfId="1" builtinId="3"/>
    <cellStyle name="Comma 2" xfId="2"/>
    <cellStyle name="Comma 2 2" xfId="12"/>
    <cellStyle name="Comma 3" xfId="9"/>
    <cellStyle name="Currency" xfId="3" builtinId="4"/>
    <cellStyle name="Currency 2" xfId="4"/>
    <cellStyle name="Currency 2 2" xfId="13"/>
    <cellStyle name="Currency 3" xfId="10"/>
    <cellStyle name="Normal" xfId="0" builtinId="0"/>
    <cellStyle name="Normal 2" xfId="5"/>
    <cellStyle name="Normal 2 2" xfId="14"/>
    <cellStyle name="Normal 3" xfId="8"/>
    <cellStyle name="Percent" xfId="6" builtinId="5"/>
    <cellStyle name="Percent 2" xfId="7"/>
    <cellStyle name="Percent 2 2" xfId="15"/>
    <cellStyle name="Percent 3" xfId="11"/>
  </cellStyles>
  <dxfs count="0"/>
  <tableStyles count="0" defaultTableStyle="TableStyleMedium2"/>
  <colors>
    <mruColors>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114300</xdr:rowOff>
    </xdr:from>
    <xdr:to>
      <xdr:col>4</xdr:col>
      <xdr:colOff>371475</xdr:colOff>
      <xdr:row>37</xdr:row>
      <xdr:rowOff>38100</xdr:rowOff>
    </xdr:to>
    <xdr:pic>
      <xdr:nvPicPr>
        <xdr:cNvPr id="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20277"/>
        <a:stretch>
          <a:fillRect/>
        </a:stretch>
      </xdr:blipFill>
      <xdr:spPr bwMode="auto">
        <a:xfrm>
          <a:off x="85725" y="323850"/>
          <a:ext cx="5676900" cy="746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428625</xdr:colOff>
      <xdr:row>1</xdr:row>
      <xdr:rowOff>123825</xdr:rowOff>
    </xdr:from>
    <xdr:to>
      <xdr:col>15</xdr:col>
      <xdr:colOff>552450</xdr:colOff>
      <xdr:row>38</xdr:row>
      <xdr:rowOff>114300</xdr:rowOff>
    </xdr:to>
    <xdr:pic>
      <xdr:nvPicPr>
        <xdr:cNvPr id="8" name="Picture 7"/>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r="7372" b="2518"/>
        <a:stretch>
          <a:fillRect/>
        </a:stretch>
      </xdr:blipFill>
      <xdr:spPr bwMode="auto">
        <a:xfrm>
          <a:off x="5819775" y="333375"/>
          <a:ext cx="6515100" cy="774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419100</xdr:colOff>
      <xdr:row>38</xdr:row>
      <xdr:rowOff>152400</xdr:rowOff>
    </xdr:from>
    <xdr:to>
      <xdr:col>15</xdr:col>
      <xdr:colOff>552450</xdr:colOff>
      <xdr:row>68</xdr:row>
      <xdr:rowOff>161925</xdr:rowOff>
    </xdr:to>
    <xdr:pic>
      <xdr:nvPicPr>
        <xdr:cNvPr id="9" name="Picture 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r="7510" b="2950"/>
        <a:stretch>
          <a:fillRect/>
        </a:stretch>
      </xdr:blipFill>
      <xdr:spPr bwMode="auto">
        <a:xfrm>
          <a:off x="5810250" y="8115300"/>
          <a:ext cx="6524625" cy="658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152400</xdr:colOff>
      <xdr:row>163</xdr:row>
      <xdr:rowOff>38101</xdr:rowOff>
    </xdr:from>
    <xdr:to>
      <xdr:col>5</xdr:col>
      <xdr:colOff>333375</xdr:colOff>
      <xdr:row>167</xdr:row>
      <xdr:rowOff>142875</xdr:rowOff>
    </xdr:to>
    <xdr:sp macro="" textlink="">
      <xdr:nvSpPr>
        <xdr:cNvPr id="8134" name="Text Box 1"/>
        <xdr:cNvSpPr txBox="1">
          <a:spLocks noChangeArrowheads="1"/>
        </xdr:cNvSpPr>
      </xdr:nvSpPr>
      <xdr:spPr bwMode="auto">
        <a:xfrm>
          <a:off x="4476750" y="33528001"/>
          <a:ext cx="762000" cy="942974"/>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11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defRPr sz="1000"/>
          </a:pPr>
          <a:endParaRPr lang="en-US" sz="1100" b="0" i="0" u="none" strike="noStrike" baseline="0">
            <a:solidFill>
              <a:srgbClr val="00008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76200</xdr:colOff>
      <xdr:row>152</xdr:row>
      <xdr:rowOff>19050</xdr:rowOff>
    </xdr:from>
    <xdr:to>
      <xdr:col>4</xdr:col>
      <xdr:colOff>200025</xdr:colOff>
      <xdr:row>157</xdr:row>
      <xdr:rowOff>57149</xdr:rowOff>
    </xdr:to>
    <xdr:sp macro="" textlink="">
      <xdr:nvSpPr>
        <xdr:cNvPr id="10" name="Text Box 1"/>
        <xdr:cNvSpPr txBox="1">
          <a:spLocks noChangeArrowheads="1"/>
        </xdr:cNvSpPr>
      </xdr:nvSpPr>
      <xdr:spPr bwMode="auto">
        <a:xfrm>
          <a:off x="4429125" y="33566100"/>
          <a:ext cx="704850" cy="1085849"/>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11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defRPr sz="1000"/>
          </a:pPr>
          <a:endParaRPr lang="en-US" sz="1100" b="0" i="0" u="none" strike="noStrike" baseline="0">
            <a:solidFill>
              <a:srgbClr val="00008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3" name="Straight Arrow Connector 2"/>
        <xdr:cNvCxnSpPr/>
      </xdr:nvCxnSpPr>
      <xdr:spPr>
        <a:xfrm flipV="1">
          <a:off x="6267450" y="48672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4" name="Down Arrow 3"/>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5" name="Down Arrow 4"/>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72882"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72883"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8" name="Down Arrow 7"/>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9" name="Down Arrow 8"/>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733425</xdr:colOff>
      <xdr:row>30</xdr:row>
      <xdr:rowOff>161927</xdr:rowOff>
    </xdr:from>
    <xdr:to>
      <xdr:col>8</xdr:col>
      <xdr:colOff>219075</xdr:colOff>
      <xdr:row>51</xdr:row>
      <xdr:rowOff>95250</xdr:rowOff>
    </xdr:to>
    <xdr:cxnSp macro="">
      <xdr:nvCxnSpPr>
        <xdr:cNvPr id="10" name="Straight Arrow Connector 9"/>
        <xdr:cNvCxnSpPr/>
      </xdr:nvCxnSpPr>
      <xdr:spPr>
        <a:xfrm flipV="1">
          <a:off x="4029075" y="5876927"/>
          <a:ext cx="1762125" cy="3933823"/>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1" name="Elbow Connector 10"/>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2" name="Straight Arrow Connector 1"/>
        <xdr:cNvCxnSpPr/>
      </xdr:nvCxnSpPr>
      <xdr:spPr>
        <a:xfrm flipV="1">
          <a:off x="6181725" y="54387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3" name="Down Arrow 2"/>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4" name="Down Arrow 3"/>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82276"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82277"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7" name="Down Arrow 6"/>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8" name="Down Arrow 7"/>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771525</xdr:colOff>
      <xdr:row>30</xdr:row>
      <xdr:rowOff>161927</xdr:rowOff>
    </xdr:from>
    <xdr:to>
      <xdr:col>8</xdr:col>
      <xdr:colOff>219075</xdr:colOff>
      <xdr:row>51</xdr:row>
      <xdr:rowOff>104775</xdr:rowOff>
    </xdr:to>
    <xdr:cxnSp macro="">
      <xdr:nvCxnSpPr>
        <xdr:cNvPr id="9" name="Straight Arrow Connector 8"/>
        <xdr:cNvCxnSpPr/>
      </xdr:nvCxnSpPr>
      <xdr:spPr>
        <a:xfrm flipV="1">
          <a:off x="4067175" y="5876927"/>
          <a:ext cx="1724025" cy="3943348"/>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0" name="Elbow Connector 9"/>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2" name="Elbow Connector 11"/>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3" name="Elbow Connector 12"/>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2" name="Straight Arrow Connector 1"/>
        <xdr:cNvCxnSpPr/>
      </xdr:nvCxnSpPr>
      <xdr:spPr>
        <a:xfrm flipV="1">
          <a:off x="6181725" y="54387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3" name="Down Arrow 2"/>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4" name="Down Arrow 3"/>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83298"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83299"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7" name="Down Arrow 6"/>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8" name="Down Arrow 7"/>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752475</xdr:colOff>
      <xdr:row>30</xdr:row>
      <xdr:rowOff>161927</xdr:rowOff>
    </xdr:from>
    <xdr:to>
      <xdr:col>8</xdr:col>
      <xdr:colOff>219075</xdr:colOff>
      <xdr:row>51</xdr:row>
      <xdr:rowOff>57150</xdr:rowOff>
    </xdr:to>
    <xdr:cxnSp macro="">
      <xdr:nvCxnSpPr>
        <xdr:cNvPr id="9" name="Straight Arrow Connector 8"/>
        <xdr:cNvCxnSpPr/>
      </xdr:nvCxnSpPr>
      <xdr:spPr>
        <a:xfrm flipV="1">
          <a:off x="4048125" y="5876927"/>
          <a:ext cx="1743075" cy="3895723"/>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0" name="Elbow Connector 9"/>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1" name="Elbow Connector 10"/>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2" name="Elbow Connector 11"/>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2" name="Straight Arrow Connector 1"/>
        <xdr:cNvCxnSpPr/>
      </xdr:nvCxnSpPr>
      <xdr:spPr>
        <a:xfrm flipV="1">
          <a:off x="6181725" y="54387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3" name="Down Arrow 2"/>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4" name="Down Arrow 3"/>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84321"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84322"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7" name="Down Arrow 6"/>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8" name="Down Arrow 7"/>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762000</xdr:colOff>
      <xdr:row>30</xdr:row>
      <xdr:rowOff>161927</xdr:rowOff>
    </xdr:from>
    <xdr:to>
      <xdr:col>8</xdr:col>
      <xdr:colOff>219075</xdr:colOff>
      <xdr:row>51</xdr:row>
      <xdr:rowOff>57150</xdr:rowOff>
    </xdr:to>
    <xdr:cxnSp macro="">
      <xdr:nvCxnSpPr>
        <xdr:cNvPr id="9" name="Straight Arrow Connector 8"/>
        <xdr:cNvCxnSpPr/>
      </xdr:nvCxnSpPr>
      <xdr:spPr>
        <a:xfrm flipV="1">
          <a:off x="4057650" y="5876927"/>
          <a:ext cx="1733550" cy="3895723"/>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0" name="Elbow Connector 9"/>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1" name="Elbow Connector 10"/>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2" name="Elbow Connector 11"/>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2" name="Straight Arrow Connector 1"/>
        <xdr:cNvCxnSpPr/>
      </xdr:nvCxnSpPr>
      <xdr:spPr>
        <a:xfrm flipV="1">
          <a:off x="6181725" y="54387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3" name="Down Arrow 2"/>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4" name="Down Arrow 3"/>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81296"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81297"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7" name="Down Arrow 6"/>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8" name="Down Arrow 7"/>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762000</xdr:colOff>
      <xdr:row>30</xdr:row>
      <xdr:rowOff>161927</xdr:rowOff>
    </xdr:from>
    <xdr:to>
      <xdr:col>8</xdr:col>
      <xdr:colOff>219075</xdr:colOff>
      <xdr:row>51</xdr:row>
      <xdr:rowOff>19050</xdr:rowOff>
    </xdr:to>
    <xdr:cxnSp macro="">
      <xdr:nvCxnSpPr>
        <xdr:cNvPr id="9" name="Straight Arrow Connector 8"/>
        <xdr:cNvCxnSpPr/>
      </xdr:nvCxnSpPr>
      <xdr:spPr>
        <a:xfrm flipV="1">
          <a:off x="4057650" y="5876927"/>
          <a:ext cx="1733550" cy="3857623"/>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0" name="Elbow Connector 9"/>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1" name="Elbow Connector 10"/>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2" name="Elbow Connector 11"/>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2" name="Straight Arrow Connector 1"/>
        <xdr:cNvCxnSpPr/>
      </xdr:nvCxnSpPr>
      <xdr:spPr>
        <a:xfrm flipV="1">
          <a:off x="6181725" y="54387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3" name="Down Arrow 2"/>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4" name="Down Arrow 3"/>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77808"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77809"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7" name="Down Arrow 6"/>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8" name="Down Arrow 7"/>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771525</xdr:colOff>
      <xdr:row>30</xdr:row>
      <xdr:rowOff>161927</xdr:rowOff>
    </xdr:from>
    <xdr:to>
      <xdr:col>8</xdr:col>
      <xdr:colOff>219075</xdr:colOff>
      <xdr:row>51</xdr:row>
      <xdr:rowOff>66675</xdr:rowOff>
    </xdr:to>
    <xdr:cxnSp macro="">
      <xdr:nvCxnSpPr>
        <xdr:cNvPr id="9" name="Straight Arrow Connector 8"/>
        <xdr:cNvCxnSpPr/>
      </xdr:nvCxnSpPr>
      <xdr:spPr>
        <a:xfrm flipV="1">
          <a:off x="4067175" y="5876927"/>
          <a:ext cx="1724025" cy="3905248"/>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0" name="Elbow Connector 9"/>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1" name="Elbow Connector 10"/>
        <xdr:cNvCxnSpPr/>
      </xdr:nvCxnSpPr>
      <xdr:spPr>
        <a:xfrm rot="16200000" flipV="1">
          <a:off x="5372101" y="18211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2" name="Elbow Connector 11"/>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3" name="Elbow Connector 12"/>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609600</xdr:colOff>
      <xdr:row>30</xdr:row>
      <xdr:rowOff>104775</xdr:rowOff>
    </xdr:from>
    <xdr:to>
      <xdr:col>9</xdr:col>
      <xdr:colOff>104775</xdr:colOff>
      <xdr:row>30</xdr:row>
      <xdr:rowOff>114300</xdr:rowOff>
    </xdr:to>
    <xdr:cxnSp macro="">
      <xdr:nvCxnSpPr>
        <xdr:cNvPr id="2" name="Straight Arrow Connector 1"/>
        <xdr:cNvCxnSpPr/>
      </xdr:nvCxnSpPr>
      <xdr:spPr>
        <a:xfrm flipV="1">
          <a:off x="6181725" y="5438775"/>
          <a:ext cx="161925" cy="9525"/>
        </a:xfrm>
        <a:prstGeom prst="straightConnector1">
          <a:avLst/>
        </a:prstGeom>
        <a:ln w="19050" cmpd="sng">
          <a:solidFill>
            <a:schemeClr val="tx1">
              <a:lumMod val="85000"/>
              <a:lumOff val="1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95250</xdr:colOff>
      <xdr:row>76</xdr:row>
      <xdr:rowOff>95250</xdr:rowOff>
    </xdr:from>
    <xdr:to>
      <xdr:col>1</xdr:col>
      <xdr:colOff>381000</xdr:colOff>
      <xdr:row>77</xdr:row>
      <xdr:rowOff>133350</xdr:rowOff>
    </xdr:to>
    <xdr:sp macro="" textlink="">
      <xdr:nvSpPr>
        <xdr:cNvPr id="3" name="Down Arrow 2"/>
        <xdr:cNvSpPr/>
      </xdr:nvSpPr>
      <xdr:spPr>
        <a:xfrm>
          <a:off x="809625"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114300</xdr:colOff>
      <xdr:row>76</xdr:row>
      <xdr:rowOff>114300</xdr:rowOff>
    </xdr:from>
    <xdr:to>
      <xdr:col>5</xdr:col>
      <xdr:colOff>400050</xdr:colOff>
      <xdr:row>77</xdr:row>
      <xdr:rowOff>152400</xdr:rowOff>
    </xdr:to>
    <xdr:sp macro="" textlink="">
      <xdr:nvSpPr>
        <xdr:cNvPr id="4" name="Down Arrow 3"/>
        <xdr:cNvSpPr/>
      </xdr:nvSpPr>
      <xdr:spPr>
        <a:xfrm>
          <a:off x="3409950" y="1421130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609600</xdr:colOff>
      <xdr:row>31</xdr:row>
      <xdr:rowOff>19050</xdr:rowOff>
    </xdr:from>
    <xdr:to>
      <xdr:col>9</xdr:col>
      <xdr:colOff>28575</xdr:colOff>
      <xdr:row>39</xdr:row>
      <xdr:rowOff>161925</xdr:rowOff>
    </xdr:to>
    <xdr:sp macro="" textlink="">
      <xdr:nvSpPr>
        <xdr:cNvPr id="179662" name="AutoShape 11"/>
        <xdr:cNvSpPr>
          <a:spLocks/>
        </xdr:cNvSpPr>
      </xdr:nvSpPr>
      <xdr:spPr bwMode="auto">
        <a:xfrm>
          <a:off x="6181725" y="5924550"/>
          <a:ext cx="85725" cy="1666875"/>
        </a:xfrm>
        <a:prstGeom prst="rightBrace">
          <a:avLst>
            <a:gd name="adj1" fmla="val 123958"/>
            <a:gd name="adj2" fmla="val 50194"/>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76200</xdr:colOff>
      <xdr:row>31</xdr:row>
      <xdr:rowOff>9525</xdr:rowOff>
    </xdr:from>
    <xdr:to>
      <xdr:col>9</xdr:col>
      <xdr:colOff>171450</xdr:colOff>
      <xdr:row>39</xdr:row>
      <xdr:rowOff>171450</xdr:rowOff>
    </xdr:to>
    <xdr:sp macro="" textlink="">
      <xdr:nvSpPr>
        <xdr:cNvPr id="179663" name="AutoShape 12"/>
        <xdr:cNvSpPr>
          <a:spLocks/>
        </xdr:cNvSpPr>
      </xdr:nvSpPr>
      <xdr:spPr bwMode="auto">
        <a:xfrm>
          <a:off x="6315075" y="5915025"/>
          <a:ext cx="95250" cy="1685925"/>
        </a:xfrm>
        <a:prstGeom prst="leftBrace">
          <a:avLst>
            <a:gd name="adj1" fmla="val 110133"/>
            <a:gd name="adj2" fmla="val 5000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104775</xdr:colOff>
      <xdr:row>76</xdr:row>
      <xdr:rowOff>104775</xdr:rowOff>
    </xdr:from>
    <xdr:to>
      <xdr:col>6</xdr:col>
      <xdr:colOff>390525</xdr:colOff>
      <xdr:row>77</xdr:row>
      <xdr:rowOff>142875</xdr:rowOff>
    </xdr:to>
    <xdr:sp macro="" textlink="">
      <xdr:nvSpPr>
        <xdr:cNvPr id="7" name="Down Arrow 6"/>
        <xdr:cNvSpPr/>
      </xdr:nvSpPr>
      <xdr:spPr>
        <a:xfrm>
          <a:off x="4181475" y="14201775"/>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7</xdr:col>
      <xdr:colOff>200025</xdr:colOff>
      <xdr:row>76</xdr:row>
      <xdr:rowOff>95250</xdr:rowOff>
    </xdr:from>
    <xdr:to>
      <xdr:col>7</xdr:col>
      <xdr:colOff>485775</xdr:colOff>
      <xdr:row>77</xdr:row>
      <xdr:rowOff>133350</xdr:rowOff>
    </xdr:to>
    <xdr:sp macro="" textlink="">
      <xdr:nvSpPr>
        <xdr:cNvPr id="8" name="Down Arrow 7"/>
        <xdr:cNvSpPr/>
      </xdr:nvSpPr>
      <xdr:spPr>
        <a:xfrm>
          <a:off x="4991100" y="14192250"/>
          <a:ext cx="285750" cy="228600"/>
        </a:xfrm>
        <a:prstGeom prst="downArrow">
          <a:avLst/>
        </a:prstGeom>
        <a:solidFill>
          <a:srgbClr val="99FF66"/>
        </a:solidFill>
        <a:ln>
          <a:solidFill>
            <a:srgbClr val="00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5</xdr:col>
      <xdr:colOff>752475</xdr:colOff>
      <xdr:row>30</xdr:row>
      <xdr:rowOff>161927</xdr:rowOff>
    </xdr:from>
    <xdr:to>
      <xdr:col>8</xdr:col>
      <xdr:colOff>219075</xdr:colOff>
      <xdr:row>51</xdr:row>
      <xdr:rowOff>85725</xdr:rowOff>
    </xdr:to>
    <xdr:cxnSp macro="">
      <xdr:nvCxnSpPr>
        <xdr:cNvPr id="9" name="Straight Arrow Connector 8"/>
        <xdr:cNvCxnSpPr/>
      </xdr:nvCxnSpPr>
      <xdr:spPr>
        <a:xfrm flipV="1">
          <a:off x="4048125" y="5876927"/>
          <a:ext cx="1743075" cy="3924298"/>
        </a:xfrm>
        <a:prstGeom prst="straightConnector1">
          <a:avLst/>
        </a:prstGeom>
        <a:ln w="19050">
          <a:solidFill>
            <a:schemeClr val="tx1">
              <a:lumMod val="75000"/>
              <a:lumOff val="25000"/>
            </a:schemeClr>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0" name="Elbow Connector 9"/>
        <xdr:cNvCxnSpPr/>
      </xdr:nvCxnSpPr>
      <xdr:spPr>
        <a:xfrm rot="16200000" flipV="1">
          <a:off x="5372101" y="169545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1" name="Elbow Connector 10"/>
        <xdr:cNvCxnSpPr/>
      </xdr:nvCxnSpPr>
      <xdr:spPr>
        <a:xfrm rot="16200000" flipV="1">
          <a:off x="5372101" y="169545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2" name="Elbow Connector 11"/>
        <xdr:cNvCxnSpPr/>
      </xdr:nvCxnSpPr>
      <xdr:spPr>
        <a:xfrm rot="16200000" flipV="1">
          <a:off x="5372101" y="185928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3" name="Elbow Connector 12"/>
        <xdr:cNvCxnSpPr/>
      </xdr:nvCxnSpPr>
      <xdr:spPr>
        <a:xfrm rot="16200000" flipV="1">
          <a:off x="5372101" y="173355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4" name="Elbow Connector 13"/>
        <xdr:cNvCxnSpPr/>
      </xdr:nvCxnSpPr>
      <xdr:spPr>
        <a:xfrm rot="16200000" flipV="1">
          <a:off x="5372101" y="173355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5" name="Elbow Connector 14"/>
        <xdr:cNvCxnSpPr/>
      </xdr:nvCxnSpPr>
      <xdr:spPr>
        <a:xfrm rot="16200000" flipV="1">
          <a:off x="5372101" y="173355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752476</xdr:colOff>
      <xdr:row>95</xdr:row>
      <xdr:rowOff>133350</xdr:rowOff>
    </xdr:from>
    <xdr:to>
      <xdr:col>8</xdr:col>
      <xdr:colOff>219078</xdr:colOff>
      <xdr:row>98</xdr:row>
      <xdr:rowOff>95251</xdr:rowOff>
    </xdr:to>
    <xdr:cxnSp macro="">
      <xdr:nvCxnSpPr>
        <xdr:cNvPr id="16" name="Elbow Connector 15"/>
        <xdr:cNvCxnSpPr/>
      </xdr:nvCxnSpPr>
      <xdr:spPr>
        <a:xfrm rot="16200000" flipV="1">
          <a:off x="5372101" y="17335500"/>
          <a:ext cx="590551" cy="247652"/>
        </a:xfrm>
        <a:prstGeom prst="bentConnector3">
          <a:avLst/>
        </a:prstGeom>
        <a:ln w="19050">
          <a:solidFill>
            <a:schemeClr val="tx1">
              <a:lumMod val="85000"/>
              <a:lumOff val="15000"/>
            </a:schemeClr>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561974</xdr:colOff>
      <xdr:row>24</xdr:row>
      <xdr:rowOff>114300</xdr:rowOff>
    </xdr:from>
    <xdr:to>
      <xdr:col>4</xdr:col>
      <xdr:colOff>36194</xdr:colOff>
      <xdr:row>27</xdr:row>
      <xdr:rowOff>133350</xdr:rowOff>
    </xdr:to>
    <xdr:sp macro="" textlink="">
      <xdr:nvSpPr>
        <xdr:cNvPr id="4" name="Right Bracket 3"/>
        <xdr:cNvSpPr/>
      </xdr:nvSpPr>
      <xdr:spPr>
        <a:xfrm>
          <a:off x="5276849" y="9429750"/>
          <a:ext cx="55245" cy="647700"/>
        </a:xfrm>
        <a:prstGeom prst="rightBracket">
          <a:avLst/>
        </a:prstGeom>
        <a:ln w="19050">
          <a:solidFill>
            <a:srgbClr val="80008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2</xdr:col>
      <xdr:colOff>576792</xdr:colOff>
      <xdr:row>27</xdr:row>
      <xdr:rowOff>132292</xdr:rowOff>
    </xdr:from>
    <xdr:to>
      <xdr:col>3</xdr:col>
      <xdr:colOff>227542</xdr:colOff>
      <xdr:row>27</xdr:row>
      <xdr:rowOff>132293</xdr:rowOff>
    </xdr:to>
    <xdr:cxnSp macro="">
      <xdr:nvCxnSpPr>
        <xdr:cNvPr id="5" name="Straight Connector 4"/>
        <xdr:cNvCxnSpPr/>
      </xdr:nvCxnSpPr>
      <xdr:spPr>
        <a:xfrm flipV="1">
          <a:off x="4873625" y="5402792"/>
          <a:ext cx="232834" cy="1"/>
        </a:xfrm>
        <a:prstGeom prst="line">
          <a:avLst/>
        </a:prstGeom>
        <a:ln w="19050">
          <a:solidFill>
            <a:srgbClr val="80008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581026</xdr:colOff>
      <xdr:row>27</xdr:row>
      <xdr:rowOff>127000</xdr:rowOff>
    </xdr:from>
    <xdr:to>
      <xdr:col>2</xdr:col>
      <xdr:colOff>243417</xdr:colOff>
      <xdr:row>27</xdr:row>
      <xdr:rowOff>127001</xdr:rowOff>
    </xdr:to>
    <xdr:cxnSp macro="">
      <xdr:nvCxnSpPr>
        <xdr:cNvPr id="6" name="Straight Arrow Connector 5"/>
        <xdr:cNvCxnSpPr/>
      </xdr:nvCxnSpPr>
      <xdr:spPr>
        <a:xfrm flipH="1">
          <a:off x="4295776" y="5397500"/>
          <a:ext cx="244474" cy="1"/>
        </a:xfrm>
        <a:prstGeom prst="straightConnector1">
          <a:avLst/>
        </a:prstGeom>
        <a:ln w="19050">
          <a:solidFill>
            <a:srgbClr val="80008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581025</xdr:colOff>
      <xdr:row>24</xdr:row>
      <xdr:rowOff>123825</xdr:rowOff>
    </xdr:from>
    <xdr:to>
      <xdr:col>5</xdr:col>
      <xdr:colOff>63500</xdr:colOff>
      <xdr:row>26</xdr:row>
      <xdr:rowOff>133350</xdr:rowOff>
    </xdr:to>
    <xdr:sp macro="" textlink="">
      <xdr:nvSpPr>
        <xdr:cNvPr id="7" name="Right Bracket 6"/>
        <xdr:cNvSpPr/>
      </xdr:nvSpPr>
      <xdr:spPr>
        <a:xfrm>
          <a:off x="6042025" y="4759325"/>
          <a:ext cx="64558" cy="432858"/>
        </a:xfrm>
        <a:prstGeom prst="rightBracket">
          <a:avLst/>
        </a:prstGeom>
        <a:ln w="19050">
          <a:solidFill>
            <a:srgbClr val="00008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4</xdr:col>
      <xdr:colOff>9525</xdr:colOff>
      <xdr:row>26</xdr:row>
      <xdr:rowOff>138642</xdr:rowOff>
    </xdr:from>
    <xdr:to>
      <xdr:col>4</xdr:col>
      <xdr:colOff>238125</xdr:colOff>
      <xdr:row>26</xdr:row>
      <xdr:rowOff>138644</xdr:rowOff>
    </xdr:to>
    <xdr:cxnSp macro="">
      <xdr:nvCxnSpPr>
        <xdr:cNvPr id="8" name="Straight Connector 7"/>
        <xdr:cNvCxnSpPr/>
      </xdr:nvCxnSpPr>
      <xdr:spPr>
        <a:xfrm flipV="1">
          <a:off x="5470525" y="5197475"/>
          <a:ext cx="228600" cy="2"/>
        </a:xfrm>
        <a:prstGeom prst="line">
          <a:avLst/>
        </a:prstGeom>
        <a:ln w="19050">
          <a:solidFill>
            <a:srgbClr val="00008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571500</xdr:colOff>
      <xdr:row>26</xdr:row>
      <xdr:rowOff>133350</xdr:rowOff>
    </xdr:from>
    <xdr:to>
      <xdr:col>3</xdr:col>
      <xdr:colOff>257175</xdr:colOff>
      <xdr:row>26</xdr:row>
      <xdr:rowOff>133351</xdr:rowOff>
    </xdr:to>
    <xdr:cxnSp macro="">
      <xdr:nvCxnSpPr>
        <xdr:cNvPr id="9" name="Straight Arrow Connector 8"/>
        <xdr:cNvCxnSpPr/>
      </xdr:nvCxnSpPr>
      <xdr:spPr>
        <a:xfrm flipH="1">
          <a:off x="4705350" y="9867900"/>
          <a:ext cx="266700" cy="1"/>
        </a:xfrm>
        <a:prstGeom prst="straightConnector1">
          <a:avLst/>
        </a:prstGeom>
        <a:ln w="19050">
          <a:solidFill>
            <a:srgbClr val="00008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552450</xdr:colOff>
      <xdr:row>24</xdr:row>
      <xdr:rowOff>114299</xdr:rowOff>
    </xdr:from>
    <xdr:to>
      <xdr:col>3</xdr:col>
      <xdr:colOff>31750</xdr:colOff>
      <xdr:row>28</xdr:row>
      <xdr:rowOff>142874</xdr:rowOff>
    </xdr:to>
    <xdr:sp macro="" textlink="">
      <xdr:nvSpPr>
        <xdr:cNvPr id="10" name="Right Bracket 9"/>
        <xdr:cNvSpPr/>
      </xdr:nvSpPr>
      <xdr:spPr>
        <a:xfrm>
          <a:off x="4849283" y="4749799"/>
          <a:ext cx="61384" cy="875242"/>
        </a:xfrm>
        <a:prstGeom prst="rightBracket">
          <a:avLst/>
        </a:prstGeom>
        <a:ln w="19050">
          <a:solidFill>
            <a:srgbClr val="00990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2</xdr:col>
      <xdr:colOff>2</xdr:colOff>
      <xdr:row>28</xdr:row>
      <xdr:rowOff>133350</xdr:rowOff>
    </xdr:from>
    <xdr:to>
      <xdr:col>2</xdr:col>
      <xdr:colOff>295275</xdr:colOff>
      <xdr:row>28</xdr:row>
      <xdr:rowOff>133350</xdr:rowOff>
    </xdr:to>
    <xdr:cxnSp macro="">
      <xdr:nvCxnSpPr>
        <xdr:cNvPr id="11" name="Straight Arrow Connector 10"/>
        <xdr:cNvCxnSpPr/>
      </xdr:nvCxnSpPr>
      <xdr:spPr>
        <a:xfrm flipH="1">
          <a:off x="4295777" y="5562600"/>
          <a:ext cx="295273" cy="0"/>
        </a:xfrm>
        <a:prstGeom prst="straightConnector1">
          <a:avLst/>
        </a:prstGeom>
        <a:ln w="19050">
          <a:solidFill>
            <a:srgbClr val="0099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70</xdr:row>
      <xdr:rowOff>123826</xdr:rowOff>
    </xdr:from>
    <xdr:to>
      <xdr:col>2</xdr:col>
      <xdr:colOff>228600</xdr:colOff>
      <xdr:row>70</xdr:row>
      <xdr:rowOff>123826</xdr:rowOff>
    </xdr:to>
    <xdr:cxnSp macro="">
      <xdr:nvCxnSpPr>
        <xdr:cNvPr id="17" name="Straight Arrow Connector 16"/>
        <xdr:cNvCxnSpPr/>
      </xdr:nvCxnSpPr>
      <xdr:spPr>
        <a:xfrm flipH="1" flipV="1">
          <a:off x="4124325" y="32527876"/>
          <a:ext cx="238125" cy="0"/>
        </a:xfrm>
        <a:prstGeom prst="straightConnector1">
          <a:avLst/>
        </a:prstGeom>
        <a:ln w="19050">
          <a:solidFill>
            <a:srgbClr val="80008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552450</xdr:colOff>
      <xdr:row>67</xdr:row>
      <xdr:rowOff>133351</xdr:rowOff>
    </xdr:from>
    <xdr:to>
      <xdr:col>6</xdr:col>
      <xdr:colOff>28575</xdr:colOff>
      <xdr:row>68</xdr:row>
      <xdr:rowOff>114300</xdr:rowOff>
    </xdr:to>
    <xdr:sp macro="" textlink="">
      <xdr:nvSpPr>
        <xdr:cNvPr id="18" name="Right Bracket 17"/>
        <xdr:cNvSpPr/>
      </xdr:nvSpPr>
      <xdr:spPr>
        <a:xfrm>
          <a:off x="6591300" y="13354051"/>
          <a:ext cx="57150" cy="190499"/>
        </a:xfrm>
        <a:prstGeom prst="rightBracket">
          <a:avLst/>
        </a:prstGeom>
        <a:ln w="19050">
          <a:solidFill>
            <a:srgbClr val="CC330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5</xdr:col>
      <xdr:colOff>19050</xdr:colOff>
      <xdr:row>68</xdr:row>
      <xdr:rowOff>123825</xdr:rowOff>
    </xdr:from>
    <xdr:to>
      <xdr:col>5</xdr:col>
      <xdr:colOff>247650</xdr:colOff>
      <xdr:row>68</xdr:row>
      <xdr:rowOff>123827</xdr:rowOff>
    </xdr:to>
    <xdr:cxnSp macro="">
      <xdr:nvCxnSpPr>
        <xdr:cNvPr id="20" name="Straight Connector 19"/>
        <xdr:cNvCxnSpPr/>
      </xdr:nvCxnSpPr>
      <xdr:spPr>
        <a:xfrm flipV="1">
          <a:off x="6057900" y="13554075"/>
          <a:ext cx="228600" cy="2"/>
        </a:xfrm>
        <a:prstGeom prst="line">
          <a:avLst/>
        </a:prstGeom>
        <a:ln w="19050">
          <a:solidFill>
            <a:srgbClr val="CC33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68</xdr:row>
      <xdr:rowOff>132292</xdr:rowOff>
    </xdr:from>
    <xdr:to>
      <xdr:col>4</xdr:col>
      <xdr:colOff>248708</xdr:colOff>
      <xdr:row>68</xdr:row>
      <xdr:rowOff>133354</xdr:rowOff>
    </xdr:to>
    <xdr:cxnSp macro="">
      <xdr:nvCxnSpPr>
        <xdr:cNvPr id="21" name="Straight Connector 20"/>
        <xdr:cNvCxnSpPr/>
      </xdr:nvCxnSpPr>
      <xdr:spPr>
        <a:xfrm flipV="1">
          <a:off x="5461000" y="13700125"/>
          <a:ext cx="248708" cy="1062"/>
        </a:xfrm>
        <a:prstGeom prst="line">
          <a:avLst/>
        </a:prstGeom>
        <a:ln w="19050">
          <a:solidFill>
            <a:srgbClr val="CC33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561974</xdr:colOff>
      <xdr:row>67</xdr:row>
      <xdr:rowOff>114300</xdr:rowOff>
    </xdr:from>
    <xdr:to>
      <xdr:col>4</xdr:col>
      <xdr:colOff>36194</xdr:colOff>
      <xdr:row>70</xdr:row>
      <xdr:rowOff>133350</xdr:rowOff>
    </xdr:to>
    <xdr:sp macro="" textlink="">
      <xdr:nvSpPr>
        <xdr:cNvPr id="39" name="Right Bracket 38"/>
        <xdr:cNvSpPr/>
      </xdr:nvSpPr>
      <xdr:spPr>
        <a:xfrm>
          <a:off x="5438774" y="4705350"/>
          <a:ext cx="55245" cy="647700"/>
        </a:xfrm>
        <a:prstGeom prst="rightBracket">
          <a:avLst/>
        </a:prstGeom>
        <a:ln w="19050">
          <a:solidFill>
            <a:srgbClr val="80008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2</xdr:col>
      <xdr:colOff>572162</xdr:colOff>
      <xdr:row>70</xdr:row>
      <xdr:rowOff>116417</xdr:rowOff>
    </xdr:from>
    <xdr:to>
      <xdr:col>3</xdr:col>
      <xdr:colOff>216958</xdr:colOff>
      <xdr:row>70</xdr:row>
      <xdr:rowOff>119064</xdr:rowOff>
    </xdr:to>
    <xdr:cxnSp macro="">
      <xdr:nvCxnSpPr>
        <xdr:cNvPr id="40" name="Straight Connector 39"/>
        <xdr:cNvCxnSpPr/>
      </xdr:nvCxnSpPr>
      <xdr:spPr>
        <a:xfrm flipV="1">
          <a:off x="4868995" y="14107584"/>
          <a:ext cx="226880" cy="2647"/>
        </a:xfrm>
        <a:prstGeom prst="line">
          <a:avLst/>
        </a:prstGeom>
        <a:ln w="19050">
          <a:solidFill>
            <a:srgbClr val="80008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600075</xdr:colOff>
      <xdr:row>67</xdr:row>
      <xdr:rowOff>123825</xdr:rowOff>
    </xdr:from>
    <xdr:to>
      <xdr:col>5</xdr:col>
      <xdr:colOff>38100</xdr:colOff>
      <xdr:row>69</xdr:row>
      <xdr:rowOff>133350</xdr:rowOff>
    </xdr:to>
    <xdr:sp macro="" textlink="">
      <xdr:nvSpPr>
        <xdr:cNvPr id="42" name="Right Bracket 41"/>
        <xdr:cNvSpPr/>
      </xdr:nvSpPr>
      <xdr:spPr>
        <a:xfrm>
          <a:off x="6038850" y="4714875"/>
          <a:ext cx="38100" cy="428625"/>
        </a:xfrm>
        <a:prstGeom prst="rightBracket">
          <a:avLst/>
        </a:prstGeom>
        <a:ln w="19050">
          <a:solidFill>
            <a:srgbClr val="00008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4</xdr:col>
      <xdr:colOff>4233</xdr:colOff>
      <xdr:row>69</xdr:row>
      <xdr:rowOff>138641</xdr:rowOff>
    </xdr:from>
    <xdr:to>
      <xdr:col>4</xdr:col>
      <xdr:colOff>232833</xdr:colOff>
      <xdr:row>69</xdr:row>
      <xdr:rowOff>138643</xdr:rowOff>
    </xdr:to>
    <xdr:cxnSp macro="">
      <xdr:nvCxnSpPr>
        <xdr:cNvPr id="43" name="Straight Connector 42"/>
        <xdr:cNvCxnSpPr/>
      </xdr:nvCxnSpPr>
      <xdr:spPr>
        <a:xfrm flipV="1">
          <a:off x="5465233" y="13918141"/>
          <a:ext cx="228600" cy="2"/>
        </a:xfrm>
        <a:prstGeom prst="line">
          <a:avLst/>
        </a:prstGeom>
        <a:ln w="19050">
          <a:solidFill>
            <a:srgbClr val="00008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67</xdr:row>
      <xdr:rowOff>114299</xdr:rowOff>
    </xdr:from>
    <xdr:to>
      <xdr:col>3</xdr:col>
      <xdr:colOff>45719</xdr:colOff>
      <xdr:row>71</xdr:row>
      <xdr:rowOff>142874</xdr:rowOff>
    </xdr:to>
    <xdr:sp macro="" textlink="">
      <xdr:nvSpPr>
        <xdr:cNvPr id="45" name="Right Bracket 44"/>
        <xdr:cNvSpPr/>
      </xdr:nvSpPr>
      <xdr:spPr>
        <a:xfrm>
          <a:off x="4876800" y="13334999"/>
          <a:ext cx="45719" cy="866775"/>
        </a:xfrm>
        <a:prstGeom prst="rightBracket">
          <a:avLst/>
        </a:prstGeom>
        <a:ln w="19050">
          <a:solidFill>
            <a:srgbClr val="00990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2</xdr:col>
      <xdr:colOff>3</xdr:colOff>
      <xdr:row>71</xdr:row>
      <xdr:rowOff>133350</xdr:rowOff>
    </xdr:from>
    <xdr:to>
      <xdr:col>2</xdr:col>
      <xdr:colOff>238125</xdr:colOff>
      <xdr:row>71</xdr:row>
      <xdr:rowOff>133350</xdr:rowOff>
    </xdr:to>
    <xdr:cxnSp macro="">
      <xdr:nvCxnSpPr>
        <xdr:cNvPr id="46" name="Straight Arrow Connector 45"/>
        <xdr:cNvCxnSpPr/>
      </xdr:nvCxnSpPr>
      <xdr:spPr>
        <a:xfrm flipH="1">
          <a:off x="4295778" y="14192250"/>
          <a:ext cx="238122" cy="0"/>
        </a:xfrm>
        <a:prstGeom prst="straightConnector1">
          <a:avLst/>
        </a:prstGeom>
        <a:ln w="19050">
          <a:solidFill>
            <a:srgbClr val="00990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561975</xdr:colOff>
      <xdr:row>68</xdr:row>
      <xdr:rowOff>114300</xdr:rowOff>
    </xdr:from>
    <xdr:to>
      <xdr:col>3</xdr:col>
      <xdr:colOff>180975</xdr:colOff>
      <xdr:row>68</xdr:row>
      <xdr:rowOff>114304</xdr:rowOff>
    </xdr:to>
    <xdr:cxnSp macro="">
      <xdr:nvCxnSpPr>
        <xdr:cNvPr id="48" name="Straight Connector 47"/>
        <xdr:cNvCxnSpPr/>
      </xdr:nvCxnSpPr>
      <xdr:spPr>
        <a:xfrm flipV="1">
          <a:off x="4857750" y="13544550"/>
          <a:ext cx="200025" cy="4"/>
        </a:xfrm>
        <a:prstGeom prst="line">
          <a:avLst/>
        </a:prstGeom>
        <a:ln w="19050">
          <a:solidFill>
            <a:srgbClr val="CC3300"/>
          </a:solidFill>
          <a:prstDash val="sysDash"/>
          <a:head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5293</xdr:colOff>
      <xdr:row>69</xdr:row>
      <xdr:rowOff>132292</xdr:rowOff>
    </xdr:from>
    <xdr:to>
      <xdr:col>2</xdr:col>
      <xdr:colOff>232834</xdr:colOff>
      <xdr:row>69</xdr:row>
      <xdr:rowOff>133351</xdr:rowOff>
    </xdr:to>
    <xdr:cxnSp macro="">
      <xdr:nvCxnSpPr>
        <xdr:cNvPr id="49" name="Straight Arrow Connector 48"/>
        <xdr:cNvCxnSpPr/>
      </xdr:nvCxnSpPr>
      <xdr:spPr>
        <a:xfrm flipH="1">
          <a:off x="4302126" y="13911792"/>
          <a:ext cx="227541" cy="1059"/>
        </a:xfrm>
        <a:prstGeom prst="straightConnector1">
          <a:avLst/>
        </a:prstGeom>
        <a:ln w="19050">
          <a:solidFill>
            <a:srgbClr val="000080"/>
          </a:solidFill>
          <a:prstDash val="sys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69</xdr:row>
      <xdr:rowOff>133350</xdr:rowOff>
    </xdr:from>
    <xdr:to>
      <xdr:col>3</xdr:col>
      <xdr:colOff>200025</xdr:colOff>
      <xdr:row>69</xdr:row>
      <xdr:rowOff>133354</xdr:rowOff>
    </xdr:to>
    <xdr:cxnSp macro="">
      <xdr:nvCxnSpPr>
        <xdr:cNvPr id="51" name="Straight Connector 50"/>
        <xdr:cNvCxnSpPr/>
      </xdr:nvCxnSpPr>
      <xdr:spPr>
        <a:xfrm flipV="1">
          <a:off x="5457825" y="13563600"/>
          <a:ext cx="200025" cy="4"/>
        </a:xfrm>
        <a:prstGeom prst="line">
          <a:avLst/>
        </a:prstGeom>
        <a:ln w="19050">
          <a:solidFill>
            <a:srgbClr val="00008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561975</xdr:colOff>
      <xdr:row>24</xdr:row>
      <xdr:rowOff>133350</xdr:rowOff>
    </xdr:from>
    <xdr:to>
      <xdr:col>6</xdr:col>
      <xdr:colOff>38100</xdr:colOff>
      <xdr:row>25</xdr:row>
      <xdr:rowOff>114299</xdr:rowOff>
    </xdr:to>
    <xdr:sp macro="" textlink="">
      <xdr:nvSpPr>
        <xdr:cNvPr id="53" name="Right Bracket 52"/>
        <xdr:cNvSpPr/>
      </xdr:nvSpPr>
      <xdr:spPr>
        <a:xfrm>
          <a:off x="6600825" y="4724400"/>
          <a:ext cx="57150" cy="190499"/>
        </a:xfrm>
        <a:prstGeom prst="rightBracket">
          <a:avLst/>
        </a:prstGeom>
        <a:ln w="19050">
          <a:solidFill>
            <a:srgbClr val="CC3300"/>
          </a:solidFill>
          <a:prstDash val="sysDash"/>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US"/>
        </a:p>
      </xdr:txBody>
    </xdr:sp>
    <xdr:clientData/>
  </xdr:twoCellAnchor>
  <xdr:twoCellAnchor>
    <xdr:from>
      <xdr:col>5</xdr:col>
      <xdr:colOff>19050</xdr:colOff>
      <xdr:row>25</xdr:row>
      <xdr:rowOff>133350</xdr:rowOff>
    </xdr:from>
    <xdr:to>
      <xdr:col>5</xdr:col>
      <xdr:colOff>247650</xdr:colOff>
      <xdr:row>25</xdr:row>
      <xdr:rowOff>133352</xdr:rowOff>
    </xdr:to>
    <xdr:cxnSp macro="">
      <xdr:nvCxnSpPr>
        <xdr:cNvPr id="54" name="Straight Connector 53"/>
        <xdr:cNvCxnSpPr/>
      </xdr:nvCxnSpPr>
      <xdr:spPr>
        <a:xfrm flipV="1">
          <a:off x="6062133" y="4980517"/>
          <a:ext cx="228600" cy="2"/>
        </a:xfrm>
        <a:prstGeom prst="line">
          <a:avLst/>
        </a:prstGeom>
        <a:ln w="19050">
          <a:solidFill>
            <a:srgbClr val="CC33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76200</xdr:colOff>
      <xdr:row>25</xdr:row>
      <xdr:rowOff>123825</xdr:rowOff>
    </xdr:from>
    <xdr:to>
      <xdr:col>4</xdr:col>
      <xdr:colOff>276225</xdr:colOff>
      <xdr:row>25</xdr:row>
      <xdr:rowOff>123829</xdr:rowOff>
    </xdr:to>
    <xdr:cxnSp macro="">
      <xdr:nvCxnSpPr>
        <xdr:cNvPr id="55" name="Straight Connector 54"/>
        <xdr:cNvCxnSpPr/>
      </xdr:nvCxnSpPr>
      <xdr:spPr>
        <a:xfrm flipV="1">
          <a:off x="5534025" y="4924425"/>
          <a:ext cx="200025" cy="4"/>
        </a:xfrm>
        <a:prstGeom prst="line">
          <a:avLst/>
        </a:prstGeom>
        <a:ln w="19050">
          <a:solidFill>
            <a:srgbClr val="CC3300"/>
          </a:solidFill>
          <a:prstDash val="sysDash"/>
          <a:head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76201</xdr:colOff>
      <xdr:row>67</xdr:row>
      <xdr:rowOff>76200</xdr:rowOff>
    </xdr:from>
    <xdr:to>
      <xdr:col>8</xdr:col>
      <xdr:colOff>542926</xdr:colOff>
      <xdr:row>68</xdr:row>
      <xdr:rowOff>457200</xdr:rowOff>
    </xdr:to>
    <xdr:sp macro="" textlink="">
      <xdr:nvSpPr>
        <xdr:cNvPr id="3" name="Text Box 1"/>
        <xdr:cNvSpPr txBox="1">
          <a:spLocks noChangeArrowheads="1"/>
        </xdr:cNvSpPr>
      </xdr:nvSpPr>
      <xdr:spPr bwMode="auto">
        <a:xfrm>
          <a:off x="6486526" y="13296900"/>
          <a:ext cx="647700" cy="1038225"/>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11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defRPr sz="1000"/>
          </a:pPr>
          <a:endParaRPr lang="en-US" sz="1100" b="0" i="0" u="none" strike="noStrike" baseline="0">
            <a:solidFill>
              <a:srgbClr val="000080"/>
            </a:solidFill>
            <a:latin typeface="Calibri"/>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2371725</xdr:colOff>
      <xdr:row>58</xdr:row>
      <xdr:rowOff>123825</xdr:rowOff>
    </xdr:from>
    <xdr:to>
      <xdr:col>0</xdr:col>
      <xdr:colOff>2466975</xdr:colOff>
      <xdr:row>67</xdr:row>
      <xdr:rowOff>114300</xdr:rowOff>
    </xdr:to>
    <xdr:sp macro="" textlink="">
      <xdr:nvSpPr>
        <xdr:cNvPr id="158707" name="AutoShape 6"/>
        <xdr:cNvSpPr>
          <a:spLocks/>
        </xdr:cNvSpPr>
      </xdr:nvSpPr>
      <xdr:spPr bwMode="auto">
        <a:xfrm>
          <a:off x="2371725" y="11420475"/>
          <a:ext cx="95250" cy="1876425"/>
        </a:xfrm>
        <a:prstGeom prst="leftBracket">
          <a:avLst>
            <a:gd name="adj" fmla="val 279995"/>
          </a:avLst>
        </a:prstGeom>
        <a:noFill/>
        <a:ln w="19050">
          <a:solidFill>
            <a:srgbClr val="666699"/>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114300</xdr:colOff>
      <xdr:row>178</xdr:row>
      <xdr:rowOff>161925</xdr:rowOff>
    </xdr:from>
    <xdr:to>
      <xdr:col>2</xdr:col>
      <xdr:colOff>209550</xdr:colOff>
      <xdr:row>182</xdr:row>
      <xdr:rowOff>123825</xdr:rowOff>
    </xdr:to>
    <xdr:sp macro="" textlink="">
      <xdr:nvSpPr>
        <xdr:cNvPr id="158708" name="AutoShape 6"/>
        <xdr:cNvSpPr>
          <a:spLocks/>
        </xdr:cNvSpPr>
      </xdr:nvSpPr>
      <xdr:spPr bwMode="auto">
        <a:xfrm>
          <a:off x="3257550" y="35728275"/>
          <a:ext cx="95250" cy="819150"/>
        </a:xfrm>
        <a:prstGeom prst="leftBracket">
          <a:avLst>
            <a:gd name="adj" fmla="val 134813"/>
          </a:avLst>
        </a:prstGeom>
        <a:noFill/>
        <a:ln w="19050">
          <a:solidFill>
            <a:srgbClr val="666699"/>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571500</xdr:colOff>
      <xdr:row>181</xdr:row>
      <xdr:rowOff>114300</xdr:rowOff>
    </xdr:from>
    <xdr:to>
      <xdr:col>3</xdr:col>
      <xdr:colOff>95250</xdr:colOff>
      <xdr:row>183</xdr:row>
      <xdr:rowOff>142875</xdr:rowOff>
    </xdr:to>
    <xdr:sp macro="" textlink="">
      <xdr:nvSpPr>
        <xdr:cNvPr id="158709" name="AutoShape 6"/>
        <xdr:cNvSpPr>
          <a:spLocks/>
        </xdr:cNvSpPr>
      </xdr:nvSpPr>
      <xdr:spPr bwMode="auto">
        <a:xfrm flipH="1">
          <a:off x="3714750" y="36328350"/>
          <a:ext cx="104775" cy="466725"/>
        </a:xfrm>
        <a:prstGeom prst="leftBracket">
          <a:avLst>
            <a:gd name="adj" fmla="val 118829"/>
          </a:avLst>
        </a:prstGeom>
        <a:noFill/>
        <a:ln w="19050">
          <a:solidFill>
            <a:srgbClr val="666699"/>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212</xdr:row>
      <xdr:rowOff>47625</xdr:rowOff>
    </xdr:from>
    <xdr:to>
      <xdr:col>5</xdr:col>
      <xdr:colOff>161925</xdr:colOff>
      <xdr:row>216</xdr:row>
      <xdr:rowOff>161925</xdr:rowOff>
    </xdr:to>
    <xdr:sp macro="" textlink="">
      <xdr:nvSpPr>
        <xdr:cNvPr id="6" name="Text Box 1"/>
        <xdr:cNvSpPr txBox="1">
          <a:spLocks noChangeArrowheads="1"/>
        </xdr:cNvSpPr>
      </xdr:nvSpPr>
      <xdr:spPr bwMode="auto">
        <a:xfrm>
          <a:off x="4305300" y="42386250"/>
          <a:ext cx="742950" cy="952500"/>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11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defRPr sz="1000"/>
          </a:pPr>
          <a:endParaRPr lang="en-US" sz="1100" b="0" i="0" u="none" strike="noStrike" baseline="0">
            <a:solidFill>
              <a:srgbClr val="000080"/>
            </a:solidFill>
            <a:latin typeface="Calibri"/>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200025</xdr:colOff>
      <xdr:row>172</xdr:row>
      <xdr:rowOff>47625</xdr:rowOff>
    </xdr:from>
    <xdr:to>
      <xdr:col>5</xdr:col>
      <xdr:colOff>95250</xdr:colOff>
      <xdr:row>174</xdr:row>
      <xdr:rowOff>180975</xdr:rowOff>
    </xdr:to>
    <xdr:sp macro="" textlink="">
      <xdr:nvSpPr>
        <xdr:cNvPr id="3" name="Text Box 1"/>
        <xdr:cNvSpPr txBox="1">
          <a:spLocks noChangeArrowheads="1"/>
        </xdr:cNvSpPr>
      </xdr:nvSpPr>
      <xdr:spPr bwMode="auto">
        <a:xfrm>
          <a:off x="4057650" y="34413825"/>
          <a:ext cx="1038225" cy="552450"/>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9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lnSpc>
              <a:spcPts val="1100"/>
            </a:lnSpc>
            <a:defRPr sz="1000"/>
          </a:pPr>
          <a:endParaRPr lang="en-US" sz="1100" b="0" i="0" u="none" strike="noStrike" baseline="0">
            <a:solidFill>
              <a:srgbClr val="000080"/>
            </a:solidFill>
            <a:latin typeface="Calibri"/>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95250</xdr:colOff>
      <xdr:row>50</xdr:row>
      <xdr:rowOff>9525</xdr:rowOff>
    </xdr:from>
    <xdr:to>
      <xdr:col>9</xdr:col>
      <xdr:colOff>304800</xdr:colOff>
      <xdr:row>51</xdr:row>
      <xdr:rowOff>190500</xdr:rowOff>
    </xdr:to>
    <xdr:sp macro="" textlink="">
      <xdr:nvSpPr>
        <xdr:cNvPr id="3" name="Text Box 1"/>
        <xdr:cNvSpPr txBox="1">
          <a:spLocks noChangeArrowheads="1"/>
        </xdr:cNvSpPr>
      </xdr:nvSpPr>
      <xdr:spPr bwMode="auto">
        <a:xfrm>
          <a:off x="6534150" y="6734175"/>
          <a:ext cx="1428750" cy="390525"/>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8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lnSpc>
              <a:spcPts val="1100"/>
            </a:lnSpc>
            <a:defRPr sz="1000"/>
          </a:pPr>
          <a:endParaRPr lang="en-US" sz="1100" b="0" i="0" u="none" strike="noStrike" baseline="0">
            <a:solidFill>
              <a:srgbClr val="000080"/>
            </a:solidFill>
            <a:latin typeface="Calibri"/>
          </a:endParaRPr>
        </a:p>
      </xdr:txBody>
    </xdr:sp>
    <xdr:clientData/>
  </xdr:twoCellAnchor>
  <xdr:oneCellAnchor>
    <xdr:from>
      <xdr:col>0</xdr:col>
      <xdr:colOff>0</xdr:colOff>
      <xdr:row>15</xdr:row>
      <xdr:rowOff>15240</xdr:rowOff>
    </xdr:from>
    <xdr:ext cx="9791700" cy="6758940"/>
    <xdr:sp macro="" textlink="">
      <xdr:nvSpPr>
        <xdr:cNvPr id="2" name="TextBox 1"/>
        <xdr:cNvSpPr txBox="1"/>
      </xdr:nvSpPr>
      <xdr:spPr>
        <a:xfrm>
          <a:off x="0" y="3345180"/>
          <a:ext cx="9791700" cy="67589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outlook for the general economic condition is stable.  Economists predict a slow start in 2016 with stronger sales toward the end of the year. </a:t>
          </a:r>
          <a:r>
            <a:rPr lang="en-US" sz="1100" baseline="0">
              <a:solidFill>
                <a:schemeClr val="tx1"/>
              </a:solidFill>
              <a:effectLst/>
              <a:latin typeface="+mn-lt"/>
              <a:ea typeface="+mn-ea"/>
              <a:cs typeface="+mn-cs"/>
            </a:rPr>
            <a:t>Retail forecast for sales growth is 3.9% according to Kiplinger.  The company's 2016 outlook is 3.5% to 5.5% sales growth.  </a:t>
          </a:r>
          <a:r>
            <a:rPr lang="en-US" sz="1100">
              <a:solidFill>
                <a:schemeClr val="tx1"/>
              </a:solidFill>
              <a:effectLst/>
              <a:latin typeface="+mn-lt"/>
              <a:ea typeface="+mn-ea"/>
              <a:cs typeface="+mn-cs"/>
            </a:rPr>
            <a:t> The retail industry has experienced a shift to high-tech shopping.  Retailers have to evolve with the consumer to stay on top.  The company is investing in technology and recently announced the appointment of a new cheif technology office, Kumar Srinivasan, a former general manager at Amazon Payments Merchant Solutions.  During</a:t>
          </a:r>
          <a:r>
            <a:rPr lang="en-US" sz="1100" baseline="0">
              <a:solidFill>
                <a:schemeClr val="tx1"/>
              </a:solidFill>
              <a:effectLst/>
              <a:latin typeface="+mn-lt"/>
              <a:ea typeface="+mn-ea"/>
              <a:cs typeface="+mn-cs"/>
            </a:rPr>
            <a:t> the past fiscal year, NordstromRack.com/HauteLook has experienced the most growth. Using the retail forecast, the build -up of projected sales by channel is calculated at 3.9% with the highest confidence weighting.   Build-up of projected sales per-store square foot calculates considerably less using the 5-Yr CAGR model.  Despite a shift to on-line shopping, the expected continued appeal of discount shopping along with the company's strategy to increase Nordstrom Rack stores give the build up of projected sales per-store square foot the second highest confidence weighting. </a:t>
          </a:r>
          <a:r>
            <a:rPr lang="en-US" sz="1100">
              <a:solidFill>
                <a:schemeClr val="tx1"/>
              </a:solidFill>
              <a:effectLst/>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tx1"/>
            </a:solidFill>
            <a:effectLst/>
            <a:latin typeface="+mn-lt"/>
            <a:ea typeface="+mn-ea"/>
            <a:cs typeface="+mn-cs"/>
          </a:endParaRPr>
        </a:p>
        <a:p>
          <a:pPr>
            <a:spcAft>
              <a:spcPts val="600"/>
            </a:spcAft>
          </a:pPr>
          <a:r>
            <a:rPr lang="en-US" sz="1100">
              <a:solidFill>
                <a:schemeClr val="tx1"/>
              </a:solidFill>
              <a:effectLst/>
              <a:latin typeface="+mn-lt"/>
              <a:ea typeface="+mn-ea"/>
              <a:cs typeface="+mn-cs"/>
            </a:rPr>
            <a:t>The gross margin is based on the company’s ratio trends.   An increase in discounted sales has decreased the gross margin.</a:t>
          </a:r>
        </a:p>
        <a:p>
          <a:pPr>
            <a:spcAft>
              <a:spcPts val="600"/>
            </a:spcAft>
          </a:pPr>
          <a:r>
            <a:rPr lang="en-US" sz="1100">
              <a:solidFill>
                <a:schemeClr val="tx1"/>
              </a:solidFill>
              <a:effectLst/>
              <a:latin typeface="+mn-lt"/>
              <a:ea typeface="+mn-ea"/>
              <a:cs typeface="+mn-cs"/>
            </a:rPr>
            <a:t>The SG&amp;A-to-sales and advertising-to-sales ratio are calculated using the 5-Yr average for the company.  </a:t>
          </a:r>
        </a:p>
        <a:p>
          <a:pPr>
            <a:spcAft>
              <a:spcPts val="600"/>
            </a:spcAft>
          </a:pPr>
          <a:r>
            <a:rPr lang="en-US" sz="1100">
              <a:solidFill>
                <a:schemeClr val="tx1"/>
              </a:solidFill>
              <a:effectLst/>
              <a:latin typeface="+mn-lt"/>
              <a:ea typeface="+mn-ea"/>
              <a:cs typeface="+mn-cs"/>
            </a:rPr>
            <a:t>The AR turnover ratio is projected based on the industry average.  The company sold the majority of their accounts receivable in the last fiscal year.  The 5-Yr calculated AR turnover ratio is inapplicable for future projections.  Not maintaining AR is an industry trend.</a:t>
          </a:r>
        </a:p>
        <a:p>
          <a:pPr>
            <a:spcAft>
              <a:spcPts val="600"/>
            </a:spcAft>
          </a:pPr>
          <a:r>
            <a:rPr lang="en-US" sz="1100">
              <a:solidFill>
                <a:schemeClr val="tx1"/>
              </a:solidFill>
              <a:effectLst/>
              <a:latin typeface="+mn-lt"/>
              <a:ea typeface="+mn-ea"/>
              <a:cs typeface="+mn-cs"/>
            </a:rPr>
            <a:t>The inventory turnover ratio and AP and accrued liabilities turnover ratio are calculated using the 5-Yr average for the company.  A 5-Yr average calculation is in in line with the industry and the trend of the 5-Yrs analyzed.</a:t>
          </a:r>
        </a:p>
        <a:p>
          <a:pPr>
            <a:spcAft>
              <a:spcPts val="600"/>
            </a:spcAft>
          </a:pPr>
          <a:r>
            <a:rPr lang="en-US" sz="1100">
              <a:solidFill>
                <a:schemeClr val="tx1"/>
              </a:solidFill>
              <a:effectLst/>
              <a:latin typeface="+mn-lt"/>
              <a:ea typeface="+mn-ea"/>
              <a:cs typeface="+mn-cs"/>
            </a:rPr>
            <a:t>Net acquisitions of PP&amp;E as a percent of sales is projected at the same percent as 2015.  Per the company MD&amp;A, capital expenditures have “increased year over year primarily due to ongoing store expansion and increased technology investments” (p. 26).  The company’s strategy is to continue expansion of stores and technology. </a:t>
          </a:r>
        </a:p>
        <a:p>
          <a:pPr>
            <a:spcAft>
              <a:spcPts val="600"/>
            </a:spcAft>
          </a:pPr>
          <a:r>
            <a:rPr lang="en-US" sz="1100">
              <a:solidFill>
                <a:schemeClr val="tx1"/>
              </a:solidFill>
              <a:effectLst/>
              <a:latin typeface="+mn-lt"/>
              <a:ea typeface="+mn-ea"/>
              <a:cs typeface="+mn-cs"/>
            </a:rPr>
            <a:t>Leverage Ratio projection</a:t>
          </a:r>
          <a:r>
            <a:rPr lang="en-US" sz="1100" baseline="0">
              <a:solidFill>
                <a:schemeClr val="tx1"/>
              </a:solidFill>
              <a:effectLst/>
              <a:latin typeface="+mn-lt"/>
              <a:ea typeface="+mn-ea"/>
              <a:cs typeface="+mn-cs"/>
            </a:rPr>
            <a:t> is calculated using the projected 2016 total assets and the projected 2016 total common equity (CE).</a:t>
          </a:r>
          <a:endParaRPr lang="en-US" sz="1100">
            <a:solidFill>
              <a:schemeClr val="tx1"/>
            </a:solidFill>
            <a:effectLst/>
            <a:latin typeface="+mn-lt"/>
            <a:ea typeface="+mn-ea"/>
            <a:cs typeface="+mn-cs"/>
          </a:endParaRPr>
        </a:p>
        <a:p>
          <a:pPr>
            <a:spcAft>
              <a:spcPts val="600"/>
            </a:spcAft>
          </a:pPr>
          <a:r>
            <a:rPr lang="en-US" sz="1100">
              <a:solidFill>
                <a:schemeClr val="tx1"/>
              </a:solidFill>
              <a:effectLst/>
              <a:latin typeface="+mn-lt"/>
              <a:ea typeface="+mn-ea"/>
              <a:cs typeface="+mn-cs"/>
            </a:rPr>
            <a:t>The projected dividends declared per share of common stock is based on the company’s history of quarterly dividends along with their newly declared dividend payout of $.37 per quarter. An average would not be appropriate for this projection as the company had a special dividend payout in 2015 due to the sale of the AR.</a:t>
          </a:r>
        </a:p>
        <a:p>
          <a:pPr>
            <a:spcAft>
              <a:spcPts val="600"/>
            </a:spcAft>
          </a:pPr>
          <a:r>
            <a:rPr lang="en-US" sz="1100">
              <a:solidFill>
                <a:schemeClr val="tx1"/>
              </a:solidFill>
              <a:effectLst/>
              <a:latin typeface="+mn-lt"/>
              <a:ea typeface="+mn-ea"/>
              <a:cs typeface="+mn-cs"/>
            </a:rPr>
            <a:t>The DIT and other current asset projected amount from the consolidated BS is calculated using an average of the 5-Yrs analyzed. </a:t>
          </a:r>
        </a:p>
        <a:p>
          <a:pPr>
            <a:spcAft>
              <a:spcPts val="600"/>
            </a:spcAft>
          </a:pPr>
          <a:r>
            <a:rPr lang="en-US" sz="1100">
              <a:solidFill>
                <a:schemeClr val="tx1"/>
              </a:solidFill>
              <a:effectLst/>
              <a:latin typeface="+mn-lt"/>
              <a:ea typeface="+mn-ea"/>
              <a:cs typeface="+mn-cs"/>
            </a:rPr>
            <a:t>The goodwill and other intangible assets projected amount is based on the current reported carrying amount.</a:t>
          </a:r>
        </a:p>
        <a:p>
          <a:pPr>
            <a:spcAft>
              <a:spcPts val="600"/>
            </a:spcAft>
          </a:pPr>
          <a:r>
            <a:rPr lang="en-US" sz="1100">
              <a:solidFill>
                <a:schemeClr val="tx1"/>
              </a:solidFill>
              <a:effectLst/>
              <a:latin typeface="+mn-lt"/>
              <a:ea typeface="+mn-ea"/>
              <a:cs typeface="+mn-cs"/>
            </a:rPr>
            <a:t>DIT and other noncurrent assets projected amounts are calculated an average of the 5 years analyzed.</a:t>
          </a:r>
        </a:p>
        <a:p>
          <a:pPr>
            <a:spcAft>
              <a:spcPts val="600"/>
            </a:spcAft>
          </a:pPr>
          <a:r>
            <a:rPr lang="en-US" sz="1100">
              <a:solidFill>
                <a:schemeClr val="tx1"/>
              </a:solidFill>
              <a:effectLst/>
              <a:latin typeface="+mn-lt"/>
              <a:ea typeface="+mn-ea"/>
              <a:cs typeface="+mn-cs"/>
            </a:rPr>
            <a:t>Capital lease obligation – current portion, capital lease obligation – noncurrent, bonds, notes and loans payable- current and DIT and other current liabilities projections are calculated using the trend of the past five FYE’s balances.  The company plans to continue expansion of stores and technology.</a:t>
          </a:r>
        </a:p>
        <a:p>
          <a:pPr>
            <a:spcAft>
              <a:spcPts val="600"/>
            </a:spcAft>
          </a:pPr>
          <a:r>
            <a:rPr lang="en-US" sz="1100">
              <a:solidFill>
                <a:schemeClr val="tx1"/>
              </a:solidFill>
              <a:effectLst/>
              <a:latin typeface="+mn-lt"/>
              <a:ea typeface="+mn-ea"/>
              <a:cs typeface="+mn-cs"/>
            </a:rPr>
            <a:t>DIT and other noncurrent liabilities projection is calculated using the average of the past five FYEs balances as there is no distinguishable trend.</a:t>
          </a:r>
        </a:p>
        <a:p>
          <a:pPr>
            <a:spcAft>
              <a:spcPts val="600"/>
            </a:spcAft>
          </a:pPr>
          <a:r>
            <a:rPr lang="en-US" sz="1100">
              <a:solidFill>
                <a:schemeClr val="tx1"/>
              </a:solidFill>
              <a:effectLst/>
              <a:latin typeface="+mn-lt"/>
              <a:ea typeface="+mn-ea"/>
              <a:cs typeface="+mn-cs"/>
            </a:rPr>
            <a:t>AOCI, noncontrol. Int, unearned stock comp projection is calculated using the average of the past five FYEs balances as there is no distinguishable trend.</a:t>
          </a:r>
        </a:p>
        <a:p>
          <a:pPr>
            <a:spcAft>
              <a:spcPts val="600"/>
            </a:spcAft>
          </a:pPr>
          <a:r>
            <a:rPr lang="en-US" sz="1100">
              <a:solidFill>
                <a:schemeClr val="tx1"/>
              </a:solidFill>
              <a:effectLst/>
              <a:latin typeface="+mn-lt"/>
              <a:ea typeface="+mn-ea"/>
              <a:cs typeface="+mn-cs"/>
            </a:rPr>
            <a:t>The stock-based compensation expense projection is calculated using the trend of the past five FYE’s balances.</a:t>
          </a:r>
        </a:p>
        <a:p>
          <a:pPr>
            <a:spcAft>
              <a:spcPts val="600"/>
            </a:spcAft>
          </a:pPr>
          <a:r>
            <a:rPr lang="en-US" sz="1100">
              <a:solidFill>
                <a:schemeClr val="tx1"/>
              </a:solidFill>
              <a:effectLst/>
              <a:latin typeface="+mn-lt"/>
              <a:ea typeface="+mn-ea"/>
              <a:cs typeface="+mn-cs"/>
            </a:rPr>
            <a:t>Projected repurchases of common stock is projected at zero.  The company’s MD&amp;A discloses that the Board of Directors have authorized a share repurchases of up to $811 million.  Per the MD&amp;A, “The actual number, price, manner and timing of future share repurchases, if any, will be subject to market and economic conditions and applicable SEC rule” (p. 28).  </a:t>
          </a:r>
        </a:p>
        <a:p>
          <a:endParaRPr lang="en-US" sz="1100" baseline="0"/>
        </a:p>
        <a:p>
          <a:endParaRPr lang="en-US" sz="1100"/>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8</xdr:col>
      <xdr:colOff>57150</xdr:colOff>
      <xdr:row>38</xdr:row>
      <xdr:rowOff>9525</xdr:rowOff>
    </xdr:from>
    <xdr:to>
      <xdr:col>12</xdr:col>
      <xdr:colOff>438150</xdr:colOff>
      <xdr:row>42</xdr:row>
      <xdr:rowOff>171450</xdr:rowOff>
    </xdr:to>
    <xdr:sp macro="" textlink="">
      <xdr:nvSpPr>
        <xdr:cNvPr id="132860" name="Arc 10"/>
        <xdr:cNvSpPr>
          <a:spLocks/>
        </xdr:cNvSpPr>
      </xdr:nvSpPr>
      <xdr:spPr bwMode="auto">
        <a:xfrm rot="10800000" flipH="1">
          <a:off x="6524625" y="7572375"/>
          <a:ext cx="2400300" cy="1000125"/>
        </a:xfrm>
        <a:custGeom>
          <a:avLst/>
          <a:gdLst>
            <a:gd name="T0" fmla="*/ 0 w 21868"/>
            <a:gd name="T1" fmla="*/ 2147483647 h 21600"/>
            <a:gd name="T2" fmla="*/ 2147483647 w 21868"/>
            <a:gd name="T3" fmla="*/ 2147483647 h 21600"/>
            <a:gd name="T4" fmla="*/ 2147483647 w 21868"/>
            <a:gd name="T5" fmla="*/ 2147483647 h 21600"/>
            <a:gd name="T6" fmla="*/ 0 60000 65536"/>
            <a:gd name="T7" fmla="*/ 0 60000 65536"/>
            <a:gd name="T8" fmla="*/ 0 60000 65536"/>
          </a:gdLst>
          <a:ahLst/>
          <a:cxnLst>
            <a:cxn ang="T6">
              <a:pos x="T0" y="T1"/>
            </a:cxn>
            <a:cxn ang="T7">
              <a:pos x="T2" y="T3"/>
            </a:cxn>
            <a:cxn ang="T8">
              <a:pos x="T4" y="T5"/>
            </a:cxn>
          </a:cxnLst>
          <a:rect l="0" t="0" r="r" b="b"/>
          <a:pathLst>
            <a:path w="21868" h="21600" fill="none" extrusionOk="0">
              <a:moveTo>
                <a:pt x="-1" y="1"/>
              </a:moveTo>
              <a:cubicBezTo>
                <a:pt x="89" y="0"/>
                <a:pt x="178" y="-1"/>
                <a:pt x="268" y="0"/>
              </a:cubicBezTo>
              <a:cubicBezTo>
                <a:pt x="12197" y="0"/>
                <a:pt x="21868" y="9670"/>
                <a:pt x="21868" y="21600"/>
              </a:cubicBezTo>
            </a:path>
            <a:path w="21868" h="21600" stroke="0" extrusionOk="0">
              <a:moveTo>
                <a:pt x="-1" y="1"/>
              </a:moveTo>
              <a:cubicBezTo>
                <a:pt x="89" y="0"/>
                <a:pt x="178" y="-1"/>
                <a:pt x="268" y="0"/>
              </a:cubicBezTo>
              <a:cubicBezTo>
                <a:pt x="12197" y="0"/>
                <a:pt x="21868" y="9670"/>
                <a:pt x="21868" y="21600"/>
              </a:cubicBezTo>
              <a:lnTo>
                <a:pt x="268" y="21600"/>
              </a:lnTo>
              <a:lnTo>
                <a:pt x="-1" y="1"/>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95250</xdr:colOff>
      <xdr:row>56</xdr:row>
      <xdr:rowOff>200025</xdr:rowOff>
    </xdr:from>
    <xdr:to>
      <xdr:col>10</xdr:col>
      <xdr:colOff>476250</xdr:colOff>
      <xdr:row>58</xdr:row>
      <xdr:rowOff>190500</xdr:rowOff>
    </xdr:to>
    <xdr:sp macro="" textlink="">
      <xdr:nvSpPr>
        <xdr:cNvPr id="3" name="Text Box 1"/>
        <xdr:cNvSpPr txBox="1">
          <a:spLocks noChangeArrowheads="1"/>
        </xdr:cNvSpPr>
      </xdr:nvSpPr>
      <xdr:spPr bwMode="auto">
        <a:xfrm>
          <a:off x="6524625" y="11401425"/>
          <a:ext cx="1390650" cy="409575"/>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11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defRPr sz="1000"/>
          </a:pPr>
          <a:endParaRPr lang="en-US" sz="1100" b="0" i="0" u="none" strike="noStrike" baseline="0">
            <a:solidFill>
              <a:srgbClr val="000080"/>
            </a:solidFill>
            <a:latin typeface="Calibri"/>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2247900</xdr:colOff>
      <xdr:row>69</xdr:row>
      <xdr:rowOff>19050</xdr:rowOff>
    </xdr:from>
    <xdr:to>
      <xdr:col>4</xdr:col>
      <xdr:colOff>466725</xdr:colOff>
      <xdr:row>70</xdr:row>
      <xdr:rowOff>0</xdr:rowOff>
    </xdr:to>
    <xdr:sp macro="" textlink="">
      <xdr:nvSpPr>
        <xdr:cNvPr id="3" name="Text Box 1"/>
        <xdr:cNvSpPr txBox="1">
          <a:spLocks noChangeArrowheads="1"/>
        </xdr:cNvSpPr>
      </xdr:nvSpPr>
      <xdr:spPr bwMode="auto">
        <a:xfrm>
          <a:off x="2247900" y="14287500"/>
          <a:ext cx="2590800" cy="190500"/>
        </a:xfrm>
        <a:prstGeom prst="rect">
          <a:avLst/>
        </a:prstGeom>
        <a:solidFill>
          <a:srgbClr val="D9D9D9">
            <a:alpha val="70195"/>
          </a:srgbClr>
        </a:solidFill>
        <a:ln w="6350">
          <a:solidFill>
            <a:srgbClr val="7F7F7F"/>
          </a:solidFill>
          <a:miter lim="800000"/>
          <a:headEnd/>
          <a:tailEnd/>
        </a:ln>
      </xdr:spPr>
      <xdr:txBody>
        <a:bodyPr vertOverflow="clip" wrap="square" lIns="91440" tIns="45720" rIns="91440" bIns="45720" anchor="t" upright="1"/>
        <a:lstStyle/>
        <a:p>
          <a:pPr algn="l" rtl="0">
            <a:lnSpc>
              <a:spcPts val="1100"/>
            </a:lnSpc>
            <a:defRPr sz="1000"/>
          </a:pPr>
          <a:r>
            <a:rPr lang="en-US" sz="800" b="0" i="0" u="none" strike="noStrike" baseline="0">
              <a:solidFill>
                <a:srgbClr val="000080"/>
              </a:solidFill>
              <a:latin typeface="Arial" panose="020B0604020202020204" pitchFamily="34" charset="0"/>
              <a:cs typeface="Arial" panose="020B0604020202020204" pitchFamily="34" charset="0"/>
            </a:rPr>
            <a:t>Amounts of points earned here are illustrative only.</a:t>
          </a:r>
        </a:p>
        <a:p>
          <a:pPr algn="l" rtl="0">
            <a:defRPr sz="1000"/>
          </a:pPr>
          <a:endParaRPr lang="en-US" sz="1100" b="0" i="0" u="none" strike="noStrike" baseline="0">
            <a:solidFill>
              <a:srgbClr val="000080"/>
            </a:solidFill>
            <a:latin typeface="Calibri"/>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47625</xdr:colOff>
      <xdr:row>19</xdr:row>
      <xdr:rowOff>9525</xdr:rowOff>
    </xdr:from>
    <xdr:to>
      <xdr:col>5</xdr:col>
      <xdr:colOff>628650</xdr:colOff>
      <xdr:row>27</xdr:row>
      <xdr:rowOff>104775</xdr:rowOff>
    </xdr:to>
    <xdr:pic>
      <xdr:nvPicPr>
        <xdr:cNvPr id="2516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171950"/>
          <a:ext cx="6791325" cy="177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11.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drawing" Target="../drawings/drawing13.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drawing" Target="../drawings/drawing14.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drawing" Target="../drawings/drawing15.xml"/></Relationships>
</file>

<file path=xl/worksheets/_rels/sheet26.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drawing" Target="../drawings/drawing16.xml"/></Relationships>
</file>

<file path=xl/worksheets/_rels/sheet27.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drawing" Target="../drawings/drawing1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18.xml"/><Relationship Id="rId1" Type="http://schemas.openxmlformats.org/officeDocument/2006/relationships/printerSettings" Target="../printerSettings/printerSettings10.bin"/><Relationship Id="rId4" Type="http://schemas.openxmlformats.org/officeDocument/2006/relationships/comments" Target="../comments28.x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Z110"/>
  <sheetViews>
    <sheetView topLeftCell="A46" workbookViewId="0">
      <selection activeCell="C65" sqref="C65"/>
    </sheetView>
  </sheetViews>
  <sheetFormatPr defaultColWidth="9.140625" defaultRowHeight="16.5" customHeight="1" x14ac:dyDescent="0.2"/>
  <cols>
    <col min="1" max="1" width="30.5703125" style="10" customWidth="1"/>
    <col min="2" max="2" width="10.5703125" style="10" customWidth="1"/>
    <col min="3" max="3" width="10.5703125" style="173" customWidth="1"/>
    <col min="4" max="4" width="28.5703125" style="173" customWidth="1"/>
    <col min="5" max="25" width="8.5703125" style="682" customWidth="1"/>
    <col min="26" max="256" width="8.5703125" style="10" customWidth="1"/>
    <col min="257" max="16384" width="9.140625" style="10"/>
  </cols>
  <sheetData>
    <row r="1" spans="1:26" s="1161" customFormat="1" ht="16.5" customHeight="1" x14ac:dyDescent="0.2">
      <c r="A1" s="1200" t="s">
        <v>1076</v>
      </c>
      <c r="B1" s="1157"/>
      <c r="C1" s="1158"/>
      <c r="D1" s="1158"/>
      <c r="E1" s="1159"/>
      <c r="F1" s="1159"/>
      <c r="G1" s="1159"/>
      <c r="H1" s="1159"/>
      <c r="I1" s="1159"/>
      <c r="J1" s="1159"/>
      <c r="K1" s="1159"/>
      <c r="L1" s="1159"/>
      <c r="M1" s="1159"/>
      <c r="N1" s="1159"/>
      <c r="O1" s="1159"/>
      <c r="P1" s="1160"/>
      <c r="Q1" s="1160"/>
      <c r="R1" s="1160"/>
      <c r="S1" s="1160"/>
      <c r="T1" s="1160"/>
      <c r="U1" s="1160"/>
      <c r="V1" s="1160"/>
      <c r="W1" s="1160"/>
      <c r="X1" s="1160"/>
      <c r="Y1" s="1160"/>
    </row>
    <row r="2" spans="1:26" s="7" customFormat="1" ht="16.5" customHeight="1" x14ac:dyDescent="0.2">
      <c r="A2" s="7" t="s">
        <v>1075</v>
      </c>
      <c r="B2" s="7" t="s">
        <v>1075</v>
      </c>
      <c r="C2" s="431" t="s">
        <v>1075</v>
      </c>
      <c r="D2" s="431" t="s">
        <v>1075</v>
      </c>
      <c r="E2" s="1081" t="s">
        <v>1075</v>
      </c>
      <c r="F2" s="1081" t="s">
        <v>1075</v>
      </c>
      <c r="G2" s="1081" t="s">
        <v>1075</v>
      </c>
      <c r="H2" s="1081" t="s">
        <v>1075</v>
      </c>
      <c r="I2" s="1081" t="s">
        <v>1075</v>
      </c>
      <c r="J2" s="1081" t="s">
        <v>1075</v>
      </c>
      <c r="K2" s="1081" t="s">
        <v>1075</v>
      </c>
      <c r="L2" s="1081" t="s">
        <v>1075</v>
      </c>
      <c r="M2" s="1081" t="s">
        <v>1075</v>
      </c>
      <c r="N2" s="1081" t="s">
        <v>1075</v>
      </c>
      <c r="O2" s="1081" t="s">
        <v>1075</v>
      </c>
      <c r="P2" s="1081" t="s">
        <v>1075</v>
      </c>
      <c r="Q2" s="1081" t="s">
        <v>1075</v>
      </c>
      <c r="R2" s="1081" t="s">
        <v>1075</v>
      </c>
      <c r="S2" s="1081" t="s">
        <v>1075</v>
      </c>
      <c r="T2" s="1081" t="s">
        <v>1075</v>
      </c>
      <c r="U2" s="1081" t="s">
        <v>1075</v>
      </c>
      <c r="V2" s="1081" t="s">
        <v>1075</v>
      </c>
      <c r="W2" s="1081" t="s">
        <v>1075</v>
      </c>
      <c r="X2" s="1081" t="s">
        <v>1075</v>
      </c>
      <c r="Y2" s="1081" t="s">
        <v>1075</v>
      </c>
      <c r="Z2" s="7" t="s">
        <v>1075</v>
      </c>
    </row>
    <row r="3" spans="1:26" s="7" customFormat="1" ht="16.5" customHeight="1" x14ac:dyDescent="0.2">
      <c r="C3" s="431"/>
      <c r="D3" s="431"/>
      <c r="E3" s="1081"/>
      <c r="F3" s="1081"/>
      <c r="G3" s="1081"/>
      <c r="H3" s="1081"/>
      <c r="I3" s="1081"/>
      <c r="J3" s="1081"/>
      <c r="K3" s="1081"/>
      <c r="L3" s="1081"/>
      <c r="M3" s="1081"/>
      <c r="N3" s="1081"/>
      <c r="O3" s="1081"/>
      <c r="P3" s="1081"/>
      <c r="Q3" s="1081"/>
      <c r="R3" s="1081"/>
      <c r="S3" s="1081"/>
      <c r="T3" s="1081"/>
      <c r="U3" s="1081"/>
      <c r="V3" s="1081"/>
      <c r="W3" s="1081"/>
      <c r="X3" s="1081"/>
      <c r="Y3" s="1081"/>
    </row>
    <row r="4" spans="1:26" s="7" customFormat="1" ht="16.5" customHeight="1" x14ac:dyDescent="0.2">
      <c r="C4" s="431"/>
      <c r="D4" s="431"/>
      <c r="E4" s="1081"/>
      <c r="F4" s="1081"/>
      <c r="G4" s="1081"/>
      <c r="H4" s="1081"/>
      <c r="I4" s="1081"/>
      <c r="J4" s="1081"/>
      <c r="K4" s="1081"/>
      <c r="L4" s="1081"/>
      <c r="M4" s="1081"/>
      <c r="N4" s="1081"/>
      <c r="O4" s="1081"/>
      <c r="P4" s="1081"/>
      <c r="Q4" s="1081"/>
      <c r="R4" s="1081"/>
      <c r="S4" s="1081"/>
      <c r="T4" s="1081"/>
      <c r="U4" s="1081"/>
      <c r="V4" s="1081"/>
      <c r="W4" s="1081"/>
      <c r="X4" s="1081"/>
      <c r="Y4" s="1081"/>
    </row>
    <row r="5" spans="1:26" s="7" customFormat="1" ht="16.5" customHeight="1" x14ac:dyDescent="0.2">
      <c r="C5" s="431"/>
      <c r="D5" s="431"/>
      <c r="E5" s="1081"/>
      <c r="F5" s="1081"/>
      <c r="G5" s="1081"/>
      <c r="H5" s="1081"/>
      <c r="I5" s="1081"/>
      <c r="J5" s="1081"/>
      <c r="K5" s="1081"/>
      <c r="L5" s="1081"/>
      <c r="M5" s="1081"/>
      <c r="N5" s="1081"/>
      <c r="O5" s="1081"/>
      <c r="P5" s="1081"/>
      <c r="Q5" s="1081"/>
      <c r="R5" s="1081"/>
      <c r="S5" s="1081"/>
      <c r="T5" s="1081"/>
      <c r="U5" s="1081"/>
      <c r="V5" s="1081"/>
      <c r="W5" s="1081"/>
      <c r="X5" s="1081"/>
      <c r="Y5" s="1081"/>
    </row>
    <row r="6" spans="1:26" s="7" customFormat="1" ht="16.5" customHeight="1" x14ac:dyDescent="0.2">
      <c r="C6" s="431"/>
      <c r="D6" s="431"/>
      <c r="E6" s="1081"/>
      <c r="F6" s="1081"/>
      <c r="G6" s="1081"/>
      <c r="H6" s="1081"/>
      <c r="I6" s="1081"/>
      <c r="J6" s="1081"/>
      <c r="K6" s="1081"/>
      <c r="L6" s="1081"/>
      <c r="M6" s="1081"/>
      <c r="N6" s="1081"/>
      <c r="O6" s="1081"/>
      <c r="P6" s="1081"/>
      <c r="Q6" s="1081"/>
      <c r="R6" s="1081"/>
      <c r="S6" s="1081"/>
      <c r="T6" s="1081"/>
      <c r="U6" s="1081"/>
      <c r="V6" s="1081"/>
      <c r="W6" s="1081"/>
      <c r="X6" s="1081"/>
      <c r="Y6" s="1081"/>
    </row>
    <row r="7" spans="1:26" s="7" customFormat="1" ht="16.5" customHeight="1" x14ac:dyDescent="0.2">
      <c r="C7" s="431"/>
      <c r="D7" s="431"/>
      <c r="E7" s="1081"/>
      <c r="F7" s="1081"/>
      <c r="G7" s="1081"/>
      <c r="H7" s="1081"/>
      <c r="I7" s="1081"/>
      <c r="J7" s="1081"/>
      <c r="K7" s="1081"/>
      <c r="L7" s="1081"/>
      <c r="M7" s="1081"/>
      <c r="N7" s="1081"/>
      <c r="O7" s="1081"/>
      <c r="P7" s="1081"/>
      <c r="Q7" s="1081"/>
      <c r="R7" s="1081"/>
      <c r="S7" s="1081"/>
      <c r="T7" s="1081"/>
      <c r="U7" s="1081"/>
      <c r="V7" s="1081"/>
      <c r="W7" s="1081"/>
      <c r="X7" s="1081"/>
      <c r="Y7" s="1081"/>
    </row>
    <row r="8" spans="1:26" s="7" customFormat="1" ht="16.5" customHeight="1" x14ac:dyDescent="0.2">
      <c r="C8" s="431"/>
      <c r="D8" s="431"/>
      <c r="E8" s="1081"/>
      <c r="F8" s="1081"/>
      <c r="G8" s="1081"/>
      <c r="H8" s="1081"/>
      <c r="I8" s="1081"/>
      <c r="J8" s="1081"/>
      <c r="K8" s="1081"/>
      <c r="L8" s="1081"/>
      <c r="M8" s="1081"/>
      <c r="N8" s="1081"/>
      <c r="O8" s="1081"/>
      <c r="P8" s="1081"/>
      <c r="Q8" s="1081"/>
      <c r="R8" s="1081"/>
      <c r="S8" s="1081"/>
      <c r="T8" s="1081"/>
      <c r="U8" s="1081"/>
      <c r="V8" s="1081"/>
      <c r="W8" s="1081"/>
      <c r="X8" s="1081"/>
      <c r="Y8" s="1081"/>
    </row>
    <row r="9" spans="1:26" s="7" customFormat="1" ht="16.5" customHeight="1" x14ac:dyDescent="0.2">
      <c r="C9" s="431"/>
      <c r="D9" s="431"/>
      <c r="E9" s="1081"/>
      <c r="F9" s="1081"/>
      <c r="G9" s="1081"/>
      <c r="H9" s="1081"/>
      <c r="I9" s="1081"/>
      <c r="J9" s="1081"/>
      <c r="K9" s="1081"/>
      <c r="L9" s="1081"/>
      <c r="M9" s="1081"/>
      <c r="N9" s="1081"/>
      <c r="O9" s="1081"/>
      <c r="P9" s="1081"/>
      <c r="Q9" s="1081"/>
      <c r="R9" s="1081"/>
      <c r="S9" s="1081"/>
      <c r="T9" s="1081"/>
      <c r="U9" s="1081"/>
      <c r="V9" s="1081"/>
      <c r="W9" s="1081"/>
      <c r="X9" s="1081"/>
      <c r="Y9" s="1081"/>
    </row>
    <row r="10" spans="1:26" s="7" customFormat="1" ht="16.5" customHeight="1" x14ac:dyDescent="0.2">
      <c r="C10" s="431"/>
      <c r="D10" s="431"/>
      <c r="E10" s="1081"/>
      <c r="F10" s="1081"/>
      <c r="G10" s="1081"/>
      <c r="H10" s="1081"/>
      <c r="I10" s="1081"/>
      <c r="J10" s="1081"/>
      <c r="K10" s="1081"/>
      <c r="L10" s="1081"/>
      <c r="M10" s="1081"/>
      <c r="N10" s="1081"/>
      <c r="O10" s="1081"/>
      <c r="P10" s="1081"/>
      <c r="Q10" s="1081"/>
      <c r="R10" s="1081"/>
      <c r="S10" s="1081"/>
      <c r="T10" s="1081"/>
      <c r="U10" s="1081"/>
      <c r="V10" s="1081"/>
      <c r="W10" s="1081"/>
      <c r="X10" s="1081"/>
      <c r="Y10" s="1081"/>
    </row>
    <row r="11" spans="1:26" s="7" customFormat="1" ht="16.5" customHeight="1" x14ac:dyDescent="0.2">
      <c r="C11" s="431"/>
      <c r="D11" s="431"/>
      <c r="E11" s="1081"/>
      <c r="F11" s="1081"/>
      <c r="G11" s="1081"/>
      <c r="H11" s="1081"/>
      <c r="I11" s="1081"/>
      <c r="J11" s="1081"/>
      <c r="K11" s="1081"/>
      <c r="L11" s="1081"/>
      <c r="M11" s="1081"/>
      <c r="N11" s="1081"/>
      <c r="O11" s="1081"/>
      <c r="P11" s="1081"/>
      <c r="Q11" s="1081"/>
      <c r="R11" s="1081"/>
      <c r="S11" s="1081"/>
      <c r="T11" s="1081"/>
      <c r="U11" s="1081"/>
      <c r="V11" s="1081"/>
      <c r="W11" s="1081"/>
      <c r="X11" s="1081"/>
      <c r="Y11" s="1081"/>
    </row>
    <row r="12" spans="1:26" s="7" customFormat="1" ht="16.5" customHeight="1" x14ac:dyDescent="0.2">
      <c r="C12" s="431"/>
      <c r="D12" s="431"/>
      <c r="E12" s="1081"/>
      <c r="F12" s="1081"/>
      <c r="G12" s="1081"/>
      <c r="H12" s="1081"/>
      <c r="I12" s="1081"/>
      <c r="J12" s="1081"/>
      <c r="K12" s="1081"/>
      <c r="L12" s="1081"/>
      <c r="M12" s="1081"/>
      <c r="N12" s="1081"/>
      <c r="O12" s="1081"/>
      <c r="P12" s="1081"/>
      <c r="Q12" s="1081"/>
      <c r="R12" s="1081"/>
      <c r="S12" s="1081"/>
      <c r="T12" s="1081"/>
      <c r="U12" s="1081"/>
      <c r="V12" s="1081"/>
      <c r="W12" s="1081"/>
      <c r="X12" s="1081"/>
      <c r="Y12" s="1081"/>
    </row>
    <row r="13" spans="1:26" s="22" customFormat="1" ht="16.5" customHeight="1" x14ac:dyDescent="0.2">
      <c r="A13" s="1082"/>
      <c r="C13" s="1083"/>
      <c r="D13" s="1083"/>
      <c r="E13" s="677"/>
      <c r="F13" s="677"/>
      <c r="G13" s="677"/>
      <c r="H13" s="677"/>
      <c r="I13" s="677"/>
      <c r="J13" s="677"/>
      <c r="K13" s="677"/>
      <c r="L13" s="677"/>
      <c r="M13" s="677"/>
      <c r="N13" s="677"/>
      <c r="O13" s="677"/>
      <c r="P13" s="677"/>
      <c r="Q13" s="677"/>
      <c r="R13" s="677"/>
      <c r="S13" s="677"/>
      <c r="T13" s="677"/>
      <c r="U13" s="677"/>
      <c r="V13" s="677"/>
      <c r="W13" s="677"/>
      <c r="X13" s="677"/>
      <c r="Y13" s="677"/>
    </row>
    <row r="14" spans="1:26" s="22" customFormat="1" ht="16.5" customHeight="1" x14ac:dyDescent="0.2">
      <c r="A14" s="1084"/>
      <c r="C14" s="1083"/>
      <c r="D14" s="1083"/>
      <c r="E14" s="677"/>
      <c r="F14" s="677"/>
      <c r="G14" s="677"/>
      <c r="H14" s="677"/>
      <c r="I14" s="677"/>
      <c r="J14" s="677"/>
      <c r="K14" s="677"/>
      <c r="L14" s="677"/>
      <c r="M14" s="677"/>
      <c r="N14" s="677"/>
      <c r="O14" s="677"/>
      <c r="P14" s="677"/>
      <c r="Q14" s="677"/>
      <c r="R14" s="677"/>
      <c r="S14" s="677"/>
      <c r="T14" s="677"/>
      <c r="U14" s="677"/>
      <c r="V14" s="677"/>
      <c r="W14" s="677"/>
      <c r="X14" s="677"/>
      <c r="Y14" s="677"/>
    </row>
    <row r="15" spans="1:26" s="22" customFormat="1" ht="16.5" customHeight="1" x14ac:dyDescent="0.2">
      <c r="A15" s="41"/>
      <c r="C15" s="1083"/>
      <c r="D15" s="1083"/>
      <c r="E15" s="677"/>
      <c r="F15" s="677"/>
      <c r="G15" s="677"/>
      <c r="H15" s="677"/>
      <c r="I15" s="677"/>
      <c r="J15" s="677"/>
      <c r="K15" s="677"/>
      <c r="L15" s="677"/>
      <c r="M15" s="677"/>
      <c r="N15" s="677"/>
      <c r="O15" s="677"/>
      <c r="P15" s="677"/>
      <c r="Q15" s="677"/>
      <c r="R15" s="677"/>
      <c r="S15" s="677"/>
      <c r="T15" s="677"/>
      <c r="U15" s="677"/>
      <c r="V15" s="677"/>
      <c r="W15" s="677"/>
      <c r="X15" s="677"/>
      <c r="Y15" s="677"/>
    </row>
    <row r="16" spans="1:26" s="22" customFormat="1" ht="16.5" customHeight="1" x14ac:dyDescent="0.2">
      <c r="A16" s="41"/>
      <c r="C16" s="1083"/>
      <c r="D16" s="1083"/>
      <c r="E16" s="677"/>
      <c r="F16" s="677"/>
      <c r="G16" s="677"/>
      <c r="H16" s="677"/>
      <c r="I16" s="677"/>
      <c r="J16" s="677"/>
      <c r="K16" s="677"/>
      <c r="L16" s="677"/>
      <c r="M16" s="677"/>
      <c r="N16" s="677"/>
      <c r="O16" s="677"/>
      <c r="P16" s="677"/>
      <c r="Q16" s="677"/>
      <c r="R16" s="677"/>
      <c r="S16" s="677"/>
      <c r="T16" s="677"/>
      <c r="U16" s="677"/>
      <c r="V16" s="677"/>
      <c r="W16" s="677"/>
      <c r="X16" s="677"/>
      <c r="Y16" s="677"/>
    </row>
    <row r="17" spans="1:25" s="22" customFormat="1" ht="16.5" customHeight="1" x14ac:dyDescent="0.2">
      <c r="A17" s="41"/>
      <c r="C17" s="1083"/>
      <c r="D17" s="1083"/>
      <c r="E17" s="677"/>
      <c r="F17" s="677"/>
      <c r="G17" s="677"/>
      <c r="H17" s="677"/>
      <c r="I17" s="677"/>
      <c r="J17" s="677"/>
      <c r="K17" s="677"/>
      <c r="L17" s="677"/>
      <c r="M17" s="677"/>
      <c r="N17" s="677"/>
      <c r="O17" s="677"/>
      <c r="P17" s="677"/>
      <c r="Q17" s="677"/>
      <c r="R17" s="677"/>
      <c r="S17" s="677"/>
      <c r="T17" s="677"/>
      <c r="U17" s="677"/>
      <c r="V17" s="677"/>
      <c r="W17" s="677"/>
      <c r="X17" s="677"/>
      <c r="Y17" s="677"/>
    </row>
    <row r="18" spans="1:25" s="22" customFormat="1" ht="16.5" customHeight="1" x14ac:dyDescent="0.2">
      <c r="A18" s="41"/>
      <c r="C18" s="1083"/>
      <c r="D18" s="1083"/>
      <c r="E18" s="677"/>
      <c r="F18" s="677"/>
      <c r="G18" s="677"/>
      <c r="H18" s="677"/>
      <c r="I18" s="677"/>
      <c r="J18" s="677"/>
      <c r="K18" s="677"/>
      <c r="L18" s="677"/>
      <c r="M18" s="677"/>
      <c r="N18" s="677"/>
      <c r="O18" s="677"/>
      <c r="P18" s="677"/>
      <c r="Q18" s="677"/>
      <c r="R18" s="677"/>
      <c r="S18" s="677"/>
      <c r="T18" s="677"/>
      <c r="U18" s="677"/>
      <c r="V18" s="677"/>
      <c r="W18" s="677"/>
      <c r="X18" s="677"/>
      <c r="Y18" s="677"/>
    </row>
    <row r="19" spans="1:25" s="22" customFormat="1" ht="16.5" customHeight="1" x14ac:dyDescent="0.2">
      <c r="A19" s="41"/>
      <c r="C19" s="1083"/>
      <c r="D19" s="1083"/>
      <c r="E19" s="677"/>
      <c r="F19" s="677"/>
      <c r="G19" s="677"/>
      <c r="H19" s="677"/>
      <c r="I19" s="677"/>
      <c r="J19" s="677"/>
      <c r="K19" s="677"/>
      <c r="L19" s="677"/>
      <c r="M19" s="677"/>
      <c r="N19" s="677"/>
      <c r="O19" s="677"/>
      <c r="P19" s="677"/>
      <c r="Q19" s="677"/>
      <c r="R19" s="677"/>
      <c r="S19" s="677"/>
      <c r="T19" s="677"/>
      <c r="U19" s="677"/>
      <c r="V19" s="677"/>
      <c r="W19" s="677"/>
      <c r="X19" s="677"/>
      <c r="Y19" s="677"/>
    </row>
    <row r="20" spans="1:25" s="22" customFormat="1" ht="16.5" customHeight="1" x14ac:dyDescent="0.2">
      <c r="A20" s="41"/>
      <c r="C20" s="1083"/>
      <c r="D20" s="1083"/>
      <c r="E20" s="677"/>
      <c r="F20" s="677"/>
      <c r="G20" s="677"/>
      <c r="H20" s="677"/>
      <c r="I20" s="677"/>
      <c r="J20" s="677"/>
      <c r="K20" s="677"/>
      <c r="L20" s="677"/>
      <c r="M20" s="677"/>
      <c r="N20" s="677"/>
      <c r="O20" s="677"/>
      <c r="P20" s="677"/>
      <c r="Q20" s="677"/>
      <c r="R20" s="677"/>
      <c r="S20" s="677"/>
      <c r="T20" s="677"/>
      <c r="U20" s="677"/>
      <c r="V20" s="677"/>
      <c r="W20" s="677"/>
      <c r="X20" s="677"/>
      <c r="Y20" s="677"/>
    </row>
    <row r="21" spans="1:25" s="22" customFormat="1" ht="16.5" customHeight="1" x14ac:dyDescent="0.2">
      <c r="A21" s="41"/>
      <c r="C21" s="1083"/>
      <c r="D21" s="1083"/>
      <c r="E21" s="677"/>
      <c r="F21" s="677"/>
      <c r="G21" s="677"/>
      <c r="H21" s="677"/>
      <c r="I21" s="677"/>
      <c r="J21" s="677"/>
      <c r="K21" s="677"/>
      <c r="L21" s="677"/>
      <c r="M21" s="677"/>
      <c r="N21" s="677"/>
      <c r="O21" s="677"/>
      <c r="P21" s="677"/>
      <c r="Q21" s="677"/>
      <c r="R21" s="677"/>
      <c r="S21" s="677"/>
      <c r="T21" s="677"/>
      <c r="U21" s="677"/>
      <c r="V21" s="677"/>
      <c r="W21" s="677"/>
      <c r="X21" s="677"/>
      <c r="Y21" s="677"/>
    </row>
    <row r="22" spans="1:25" s="22" customFormat="1" ht="16.5" customHeight="1" x14ac:dyDescent="0.2">
      <c r="A22" s="41"/>
      <c r="C22" s="1083"/>
      <c r="D22" s="1083"/>
      <c r="E22" s="677"/>
      <c r="F22" s="677"/>
      <c r="G22" s="677"/>
      <c r="H22" s="677"/>
      <c r="I22" s="677"/>
      <c r="J22" s="677"/>
      <c r="K22" s="677"/>
      <c r="L22" s="677"/>
      <c r="M22" s="677"/>
      <c r="N22" s="677"/>
      <c r="O22" s="677"/>
      <c r="P22" s="677"/>
      <c r="Q22" s="677"/>
      <c r="R22" s="677"/>
      <c r="S22" s="677"/>
      <c r="T22" s="677"/>
      <c r="U22" s="677"/>
      <c r="V22" s="677"/>
      <c r="W22" s="677"/>
      <c r="X22" s="677"/>
      <c r="Y22" s="677"/>
    </row>
    <row r="23" spans="1:25" s="22" customFormat="1" ht="16.5" customHeight="1" x14ac:dyDescent="0.2">
      <c r="A23" s="41"/>
      <c r="C23" s="1083"/>
      <c r="D23" s="1083"/>
      <c r="E23" s="677"/>
      <c r="F23" s="677"/>
      <c r="G23" s="677"/>
      <c r="H23" s="677"/>
      <c r="I23" s="677"/>
      <c r="J23" s="677"/>
      <c r="K23" s="677"/>
      <c r="L23" s="677"/>
      <c r="M23" s="677"/>
      <c r="N23" s="677"/>
      <c r="O23" s="677"/>
      <c r="P23" s="677"/>
      <c r="Q23" s="677"/>
      <c r="R23" s="677"/>
      <c r="S23" s="677"/>
      <c r="T23" s="677"/>
      <c r="U23" s="677"/>
      <c r="V23" s="677"/>
      <c r="W23" s="677"/>
      <c r="X23" s="677"/>
      <c r="Y23" s="677"/>
    </row>
    <row r="24" spans="1:25" s="22" customFormat="1" ht="16.5" customHeight="1" x14ac:dyDescent="0.2">
      <c r="A24" s="41"/>
      <c r="C24" s="1083"/>
      <c r="D24" s="1083"/>
      <c r="E24" s="677"/>
      <c r="F24" s="677"/>
      <c r="G24" s="677"/>
      <c r="H24" s="677"/>
      <c r="I24" s="677"/>
      <c r="J24" s="677"/>
      <c r="K24" s="677"/>
      <c r="L24" s="677"/>
      <c r="M24" s="677"/>
      <c r="N24" s="677"/>
      <c r="O24" s="677"/>
      <c r="P24" s="677"/>
      <c r="Q24" s="677"/>
      <c r="R24" s="677"/>
      <c r="S24" s="677"/>
      <c r="T24" s="677"/>
      <c r="U24" s="677"/>
      <c r="V24" s="677"/>
      <c r="W24" s="677"/>
      <c r="X24" s="677"/>
      <c r="Y24" s="677"/>
    </row>
    <row r="25" spans="1:25" s="22" customFormat="1" ht="16.5" customHeight="1" x14ac:dyDescent="0.2">
      <c r="A25" s="41"/>
      <c r="C25" s="1083"/>
      <c r="D25" s="1083"/>
      <c r="E25" s="677"/>
      <c r="F25" s="677"/>
      <c r="G25" s="677"/>
      <c r="H25" s="677"/>
      <c r="I25" s="677"/>
      <c r="J25" s="677"/>
      <c r="K25" s="677"/>
      <c r="L25" s="677"/>
      <c r="M25" s="677"/>
      <c r="N25" s="677"/>
      <c r="O25" s="677"/>
      <c r="P25" s="677"/>
      <c r="Q25" s="677"/>
      <c r="R25" s="677"/>
      <c r="S25" s="677"/>
      <c r="T25" s="677"/>
      <c r="U25" s="677"/>
      <c r="V25" s="677"/>
      <c r="W25" s="677"/>
      <c r="X25" s="677"/>
      <c r="Y25" s="677"/>
    </row>
    <row r="26" spans="1:25" s="22" customFormat="1" ht="16.5" customHeight="1" x14ac:dyDescent="0.2">
      <c r="A26" s="41"/>
      <c r="C26" s="1083"/>
      <c r="D26" s="1083"/>
      <c r="E26" s="677"/>
      <c r="F26" s="677"/>
      <c r="G26" s="677"/>
      <c r="H26" s="677"/>
      <c r="I26" s="677"/>
      <c r="J26" s="677"/>
      <c r="K26" s="677"/>
      <c r="L26" s="677"/>
      <c r="M26" s="677"/>
      <c r="N26" s="677"/>
      <c r="O26" s="677"/>
      <c r="P26" s="677"/>
      <c r="Q26" s="677"/>
      <c r="R26" s="677"/>
      <c r="S26" s="677"/>
      <c r="T26" s="677"/>
      <c r="U26" s="677"/>
      <c r="V26" s="677"/>
      <c r="W26" s="677"/>
      <c r="X26" s="677"/>
      <c r="Y26" s="677"/>
    </row>
    <row r="27" spans="1:25" s="22" customFormat="1" ht="16.5" customHeight="1" x14ac:dyDescent="0.2">
      <c r="A27" s="41"/>
      <c r="C27" s="1083"/>
      <c r="D27" s="1083"/>
      <c r="E27" s="677"/>
      <c r="F27" s="677"/>
      <c r="G27" s="677"/>
      <c r="H27" s="677"/>
      <c r="I27" s="677"/>
      <c r="J27" s="677"/>
      <c r="K27" s="677"/>
      <c r="L27" s="677"/>
      <c r="M27" s="677"/>
      <c r="N27" s="677"/>
      <c r="O27" s="677"/>
      <c r="P27" s="677"/>
      <c r="Q27" s="677"/>
      <c r="R27" s="677"/>
      <c r="S27" s="677"/>
      <c r="T27" s="677"/>
      <c r="U27" s="677"/>
      <c r="V27" s="677"/>
      <c r="W27" s="677"/>
      <c r="X27" s="677"/>
      <c r="Y27" s="677"/>
    </row>
    <row r="28" spans="1:25" s="22" customFormat="1" ht="16.5" customHeight="1" x14ac:dyDescent="0.2">
      <c r="A28" s="41"/>
      <c r="C28" s="1083"/>
      <c r="D28" s="1083"/>
      <c r="E28" s="677"/>
      <c r="F28" s="677"/>
      <c r="G28" s="677"/>
      <c r="H28" s="677"/>
      <c r="I28" s="677"/>
      <c r="J28" s="677"/>
      <c r="K28" s="677"/>
      <c r="L28" s="677"/>
      <c r="M28" s="677"/>
      <c r="N28" s="677"/>
      <c r="O28" s="677"/>
      <c r="P28" s="677"/>
      <c r="Q28" s="677"/>
      <c r="R28" s="677"/>
      <c r="S28" s="677"/>
      <c r="T28" s="677"/>
      <c r="U28" s="677"/>
      <c r="V28" s="677"/>
      <c r="W28" s="677"/>
      <c r="X28" s="677"/>
      <c r="Y28" s="677"/>
    </row>
    <row r="29" spans="1:25" s="22" customFormat="1" ht="16.5" customHeight="1" x14ac:dyDescent="0.2">
      <c r="A29" s="41"/>
      <c r="C29" s="1083"/>
      <c r="D29" s="1083"/>
      <c r="E29" s="677"/>
      <c r="F29" s="677"/>
      <c r="G29" s="677"/>
      <c r="H29" s="677"/>
      <c r="I29" s="677"/>
      <c r="J29" s="677"/>
      <c r="K29" s="677"/>
      <c r="L29" s="677"/>
      <c r="M29" s="677"/>
      <c r="N29" s="677"/>
      <c r="O29" s="677"/>
      <c r="P29" s="677"/>
      <c r="Q29" s="677"/>
      <c r="R29" s="677"/>
      <c r="S29" s="677"/>
      <c r="T29" s="677"/>
      <c r="U29" s="677"/>
      <c r="V29" s="677"/>
      <c r="W29" s="677"/>
      <c r="X29" s="677"/>
      <c r="Y29" s="677"/>
    </row>
    <row r="30" spans="1:25" s="22" customFormat="1" ht="16.5" customHeight="1" x14ac:dyDescent="0.2">
      <c r="A30" s="41"/>
      <c r="C30" s="1083"/>
      <c r="D30" s="1083"/>
      <c r="E30" s="677"/>
      <c r="F30" s="677"/>
      <c r="G30" s="677"/>
      <c r="H30" s="677"/>
      <c r="I30" s="677"/>
      <c r="J30" s="677"/>
      <c r="K30" s="677"/>
      <c r="L30" s="677"/>
      <c r="M30" s="677"/>
      <c r="N30" s="677"/>
      <c r="O30" s="677"/>
      <c r="P30" s="677"/>
      <c r="Q30" s="677"/>
      <c r="R30" s="677"/>
      <c r="S30" s="677"/>
      <c r="T30" s="677"/>
      <c r="U30" s="677"/>
      <c r="V30" s="677"/>
      <c r="W30" s="677"/>
      <c r="X30" s="677"/>
      <c r="Y30" s="677"/>
    </row>
    <row r="31" spans="1:25" s="22" customFormat="1" ht="16.5" customHeight="1" x14ac:dyDescent="0.2">
      <c r="A31" s="41"/>
      <c r="C31" s="1083"/>
      <c r="D31" s="1083"/>
      <c r="E31" s="677"/>
      <c r="F31" s="677"/>
      <c r="G31" s="677"/>
      <c r="H31" s="677"/>
      <c r="I31" s="677"/>
      <c r="J31" s="677"/>
      <c r="K31" s="677"/>
      <c r="L31" s="677"/>
      <c r="M31" s="677"/>
      <c r="N31" s="677"/>
      <c r="O31" s="677"/>
      <c r="P31" s="677"/>
      <c r="Q31" s="677"/>
      <c r="R31" s="677"/>
      <c r="S31" s="677"/>
      <c r="T31" s="677"/>
      <c r="U31" s="677"/>
      <c r="V31" s="677"/>
      <c r="W31" s="677"/>
      <c r="X31" s="677"/>
      <c r="Y31" s="677"/>
    </row>
    <row r="32" spans="1:25" s="22" customFormat="1" ht="16.5" customHeight="1" x14ac:dyDescent="0.2">
      <c r="A32" s="41"/>
      <c r="C32" s="1083"/>
      <c r="D32" s="1083"/>
      <c r="E32" s="677"/>
      <c r="F32" s="677"/>
      <c r="G32" s="677"/>
      <c r="H32" s="677"/>
      <c r="I32" s="677"/>
      <c r="J32" s="677"/>
      <c r="K32" s="677"/>
      <c r="L32" s="677"/>
      <c r="M32" s="677"/>
      <c r="N32" s="677"/>
      <c r="O32" s="677"/>
      <c r="P32" s="677"/>
      <c r="Q32" s="677"/>
      <c r="R32" s="677"/>
      <c r="S32" s="677"/>
      <c r="T32" s="677"/>
      <c r="U32" s="677"/>
      <c r="V32" s="677"/>
      <c r="W32" s="677"/>
      <c r="X32" s="677"/>
      <c r="Y32" s="677"/>
    </row>
    <row r="33" spans="1:25" s="22" customFormat="1" ht="16.5" customHeight="1" x14ac:dyDescent="0.2">
      <c r="A33" s="41"/>
      <c r="C33" s="1083"/>
      <c r="D33" s="1083"/>
      <c r="E33" s="677"/>
      <c r="F33" s="677"/>
      <c r="G33" s="677"/>
      <c r="H33" s="677"/>
      <c r="I33" s="677"/>
      <c r="J33" s="677"/>
      <c r="K33" s="677"/>
      <c r="L33" s="677"/>
      <c r="M33" s="677"/>
      <c r="N33" s="677"/>
      <c r="O33" s="677"/>
      <c r="P33" s="677"/>
      <c r="Q33" s="677"/>
      <c r="R33" s="677"/>
      <c r="S33" s="677"/>
      <c r="T33" s="677"/>
      <c r="U33" s="677"/>
      <c r="V33" s="677"/>
      <c r="W33" s="677"/>
      <c r="X33" s="677"/>
      <c r="Y33" s="677"/>
    </row>
    <row r="34" spans="1:25" s="22" customFormat="1" ht="16.5" customHeight="1" x14ac:dyDescent="0.2">
      <c r="A34" s="41"/>
      <c r="C34" s="1083"/>
      <c r="D34" s="1083"/>
      <c r="E34" s="677"/>
      <c r="F34" s="677"/>
      <c r="G34" s="677"/>
      <c r="H34" s="677"/>
      <c r="I34" s="677"/>
      <c r="J34" s="677"/>
      <c r="K34" s="677"/>
      <c r="L34" s="677"/>
      <c r="M34" s="677"/>
      <c r="N34" s="677"/>
      <c r="O34" s="677"/>
      <c r="P34" s="677"/>
      <c r="Q34" s="677"/>
      <c r="R34" s="677"/>
      <c r="S34" s="677"/>
      <c r="T34" s="677"/>
      <c r="U34" s="677"/>
      <c r="V34" s="677"/>
      <c r="W34" s="677"/>
      <c r="X34" s="677"/>
      <c r="Y34" s="677"/>
    </row>
    <row r="35" spans="1:25" s="22" customFormat="1" ht="16.5" customHeight="1" x14ac:dyDescent="0.2">
      <c r="A35" s="41"/>
      <c r="C35" s="1083"/>
      <c r="D35" s="1083"/>
      <c r="E35" s="677"/>
      <c r="F35" s="677"/>
      <c r="G35" s="677"/>
      <c r="H35" s="677"/>
      <c r="I35" s="677"/>
      <c r="J35" s="677"/>
      <c r="K35" s="677"/>
      <c r="L35" s="677"/>
      <c r="M35" s="677"/>
      <c r="N35" s="677"/>
      <c r="O35" s="677"/>
      <c r="P35" s="677"/>
      <c r="Q35" s="677"/>
      <c r="R35" s="677"/>
      <c r="S35" s="677"/>
      <c r="T35" s="677"/>
      <c r="U35" s="677"/>
      <c r="V35" s="677"/>
      <c r="W35" s="677"/>
      <c r="X35" s="677"/>
      <c r="Y35" s="677"/>
    </row>
    <row r="36" spans="1:25" s="22" customFormat="1" ht="16.5" customHeight="1" x14ac:dyDescent="0.2">
      <c r="C36" s="1083"/>
      <c r="D36" s="1083"/>
      <c r="E36" s="677"/>
      <c r="F36" s="677"/>
      <c r="G36" s="677"/>
      <c r="H36" s="677"/>
      <c r="I36" s="677"/>
      <c r="J36" s="677"/>
      <c r="K36" s="677"/>
      <c r="L36" s="677"/>
      <c r="M36" s="677"/>
      <c r="N36" s="677"/>
      <c r="O36" s="677"/>
      <c r="P36" s="677"/>
      <c r="Q36" s="677"/>
      <c r="R36" s="677"/>
      <c r="S36" s="677"/>
      <c r="T36" s="677"/>
      <c r="U36" s="677"/>
      <c r="V36" s="677"/>
      <c r="W36" s="677"/>
      <c r="X36" s="677"/>
      <c r="Y36" s="677"/>
    </row>
    <row r="37" spans="1:25" s="1008" customFormat="1" ht="16.5" customHeight="1" x14ac:dyDescent="0.2">
      <c r="C37" s="1035"/>
      <c r="D37" s="1035"/>
    </row>
    <row r="38" spans="1:25" s="1008" customFormat="1" ht="16.5" customHeight="1" x14ac:dyDescent="0.2">
      <c r="C38" s="1035"/>
      <c r="D38" s="1035"/>
    </row>
    <row r="39" spans="1:25" s="87" customFormat="1" ht="16.899999999999999" customHeight="1" x14ac:dyDescent="0.2">
      <c r="A39" s="1015" t="s">
        <v>962</v>
      </c>
      <c r="B39" s="682"/>
      <c r="C39" s="682"/>
      <c r="D39" s="1018"/>
      <c r="E39" s="1018"/>
      <c r="F39" s="682"/>
      <c r="G39" s="682"/>
      <c r="H39" s="1024"/>
      <c r="I39" s="1024"/>
      <c r="J39" s="1025"/>
      <c r="K39" s="1025"/>
      <c r="L39" s="1025"/>
      <c r="M39" s="1025"/>
      <c r="N39" s="682"/>
      <c r="O39" s="682"/>
      <c r="P39" s="682"/>
      <c r="Q39" s="682"/>
      <c r="R39" s="682"/>
      <c r="S39" s="682"/>
      <c r="T39" s="682"/>
      <c r="U39" s="682"/>
      <c r="V39" s="682"/>
      <c r="W39" s="682"/>
      <c r="X39" s="682"/>
      <c r="Y39" s="682"/>
    </row>
    <row r="40" spans="1:25" s="87" customFormat="1" ht="16.899999999999999" customHeight="1" x14ac:dyDescent="0.2">
      <c r="A40" s="1010" t="s">
        <v>1030</v>
      </c>
      <c r="B40" s="682"/>
      <c r="C40" s="682"/>
      <c r="D40" s="1019"/>
      <c r="E40" s="1019"/>
      <c r="F40" s="682"/>
      <c r="G40" s="682"/>
      <c r="H40" s="1024"/>
      <c r="I40" s="1024"/>
      <c r="J40" s="1025"/>
      <c r="K40" s="1025"/>
      <c r="L40" s="1025"/>
      <c r="M40" s="1025"/>
      <c r="N40" s="682"/>
      <c r="O40" s="682"/>
      <c r="P40" s="682"/>
      <c r="Q40" s="682"/>
      <c r="R40" s="682"/>
      <c r="S40" s="682"/>
      <c r="T40" s="682"/>
      <c r="U40" s="682"/>
      <c r="V40" s="682"/>
      <c r="W40" s="682"/>
      <c r="X40" s="682"/>
      <c r="Y40" s="682"/>
    </row>
    <row r="41" spans="1:25" s="87" customFormat="1" ht="39" customHeight="1" x14ac:dyDescent="0.2">
      <c r="A41" s="1282" t="s">
        <v>963</v>
      </c>
      <c r="B41" s="1283"/>
      <c r="C41" s="1283"/>
      <c r="D41" s="1283"/>
      <c r="E41" s="1019"/>
      <c r="F41" s="682"/>
      <c r="G41" s="682"/>
      <c r="H41" s="1024"/>
      <c r="I41" s="1024"/>
      <c r="J41" s="1025"/>
      <c r="K41" s="1025"/>
      <c r="L41" s="1025"/>
      <c r="M41" s="1025"/>
      <c r="N41" s="682"/>
      <c r="O41" s="682"/>
      <c r="P41" s="682"/>
      <c r="Q41" s="682"/>
      <c r="R41" s="682"/>
      <c r="S41" s="682"/>
      <c r="T41" s="682"/>
      <c r="U41" s="682"/>
      <c r="V41" s="682"/>
      <c r="W41" s="682"/>
      <c r="X41" s="682"/>
      <c r="Y41" s="682"/>
    </row>
    <row r="42" spans="1:25" ht="16.5" customHeight="1" x14ac:dyDescent="0.2">
      <c r="A42" s="1053" t="s">
        <v>1034</v>
      </c>
      <c r="B42" s="1037" t="s">
        <v>790</v>
      </c>
      <c r="C42" s="1037" t="s">
        <v>935</v>
      </c>
      <c r="D42" s="1010" t="s">
        <v>1032</v>
      </c>
    </row>
    <row r="43" spans="1:25" s="87" customFormat="1" ht="16.899999999999999" customHeight="1" x14ac:dyDescent="0.2">
      <c r="A43" s="138" t="s">
        <v>1027</v>
      </c>
      <c r="B43" s="31">
        <v>20</v>
      </c>
      <c r="C43" s="1013">
        <v>18</v>
      </c>
      <c r="D43" s="1044" t="s">
        <v>1033</v>
      </c>
      <c r="E43" s="1019"/>
      <c r="F43" s="682"/>
      <c r="G43" s="682"/>
      <c r="H43" s="1024"/>
      <c r="I43" s="1024"/>
      <c r="J43" s="1025"/>
      <c r="K43" s="1025"/>
      <c r="L43" s="1025"/>
      <c r="M43" s="1025"/>
      <c r="N43" s="682"/>
      <c r="O43" s="682"/>
      <c r="P43" s="682"/>
      <c r="Q43" s="682"/>
      <c r="R43" s="682"/>
      <c r="S43" s="682"/>
      <c r="T43" s="682"/>
      <c r="U43" s="682"/>
      <c r="V43" s="682"/>
      <c r="W43" s="682"/>
      <c r="X43" s="682"/>
      <c r="Y43" s="682"/>
    </row>
    <row r="44" spans="1:25" s="87" customFormat="1" ht="16.899999999999999" customHeight="1" x14ac:dyDescent="0.2">
      <c r="A44" s="138" t="s">
        <v>1026</v>
      </c>
      <c r="B44" s="31">
        <v>10</v>
      </c>
      <c r="C44" s="1013">
        <v>10</v>
      </c>
      <c r="D44" s="1039" t="s">
        <v>964</v>
      </c>
      <c r="E44" s="1019"/>
      <c r="F44" s="682"/>
      <c r="G44" s="682"/>
      <c r="H44" s="1024"/>
      <c r="I44" s="1024"/>
      <c r="J44" s="1025"/>
      <c r="K44" s="1025"/>
      <c r="L44" s="1025"/>
      <c r="M44" s="1025"/>
      <c r="N44" s="682"/>
      <c r="O44" s="682"/>
      <c r="P44" s="682"/>
      <c r="Q44" s="682"/>
      <c r="R44" s="682"/>
      <c r="S44" s="682"/>
      <c r="T44" s="682"/>
      <c r="U44" s="682"/>
      <c r="V44" s="682"/>
      <c r="W44" s="682"/>
      <c r="X44" s="682"/>
      <c r="Y44" s="682"/>
    </row>
    <row r="45" spans="1:25" s="87" customFormat="1" ht="16.899999999999999" customHeight="1" x14ac:dyDescent="0.2">
      <c r="A45" s="138" t="s">
        <v>1021</v>
      </c>
      <c r="B45" s="31">
        <v>15</v>
      </c>
      <c r="C45" s="1013">
        <v>14</v>
      </c>
      <c r="D45" s="1045" t="s">
        <v>965</v>
      </c>
      <c r="E45" s="1019"/>
      <c r="F45" s="682"/>
      <c r="G45" s="682"/>
      <c r="H45" s="1024"/>
      <c r="I45" s="1024"/>
      <c r="J45" s="1025"/>
      <c r="K45" s="1025"/>
      <c r="L45" s="1025"/>
      <c r="M45" s="1025"/>
      <c r="N45" s="682"/>
      <c r="O45" s="682"/>
      <c r="P45" s="682"/>
      <c r="Q45" s="682"/>
      <c r="R45" s="682"/>
      <c r="S45" s="682"/>
      <c r="T45" s="682"/>
      <c r="U45" s="682"/>
      <c r="V45" s="682"/>
      <c r="W45" s="682"/>
      <c r="X45" s="682"/>
      <c r="Y45" s="682"/>
    </row>
    <row r="46" spans="1:25" s="87" customFormat="1" ht="16.899999999999999" customHeight="1" x14ac:dyDescent="0.2">
      <c r="A46" s="138" t="s">
        <v>1022</v>
      </c>
      <c r="B46" s="31">
        <v>5</v>
      </c>
      <c r="C46" s="1013">
        <v>5</v>
      </c>
      <c r="D46" s="1046" t="s">
        <v>966</v>
      </c>
      <c r="E46" s="1019"/>
      <c r="F46" s="682"/>
      <c r="G46" s="682"/>
      <c r="H46" s="1024"/>
      <c r="I46" s="1024"/>
      <c r="J46" s="1025"/>
      <c r="K46" s="1025"/>
      <c r="L46" s="1025"/>
      <c r="M46" s="1025"/>
      <c r="N46" s="682"/>
      <c r="O46" s="682"/>
      <c r="P46" s="682"/>
      <c r="Q46" s="682"/>
      <c r="R46" s="682"/>
      <c r="S46" s="682"/>
      <c r="T46" s="682"/>
      <c r="U46" s="682"/>
      <c r="V46" s="682"/>
      <c r="W46" s="682"/>
      <c r="X46" s="682"/>
      <c r="Y46" s="682"/>
    </row>
    <row r="47" spans="1:25" s="87" customFormat="1" ht="16.899999999999999" customHeight="1" x14ac:dyDescent="0.2">
      <c r="A47" s="138" t="s">
        <v>1023</v>
      </c>
      <c r="B47" s="31">
        <v>0</v>
      </c>
      <c r="C47" s="1013">
        <v>0</v>
      </c>
      <c r="D47" s="1047" t="s">
        <v>967</v>
      </c>
      <c r="E47" s="1019"/>
      <c r="F47" s="682"/>
      <c r="G47" s="682"/>
      <c r="H47" s="1024"/>
      <c r="I47" s="1024"/>
      <c r="J47" s="1025"/>
      <c r="K47" s="1025"/>
      <c r="L47" s="1025"/>
      <c r="M47" s="1025"/>
      <c r="N47" s="682"/>
      <c r="O47" s="682"/>
      <c r="P47" s="682"/>
      <c r="Q47" s="682"/>
      <c r="R47" s="682"/>
      <c r="S47" s="682"/>
      <c r="T47" s="682"/>
      <c r="U47" s="682"/>
      <c r="V47" s="682"/>
      <c r="W47" s="682"/>
      <c r="X47" s="682"/>
      <c r="Y47" s="682"/>
    </row>
    <row r="48" spans="1:25" s="87" customFormat="1" ht="16.899999999999999" customHeight="1" x14ac:dyDescent="0.2">
      <c r="A48" s="138" t="s">
        <v>1024</v>
      </c>
      <c r="B48" s="31">
        <v>5</v>
      </c>
      <c r="C48" s="1013">
        <v>5</v>
      </c>
      <c r="D48" s="1048" t="s">
        <v>968</v>
      </c>
      <c r="E48" s="1019"/>
      <c r="F48" s="682"/>
      <c r="G48" s="682"/>
      <c r="H48" s="1024"/>
      <c r="I48" s="1024"/>
      <c r="J48" s="1025"/>
      <c r="K48" s="1025"/>
      <c r="L48" s="1025"/>
      <c r="M48" s="1025"/>
      <c r="N48" s="682"/>
      <c r="O48" s="682"/>
      <c r="P48" s="682"/>
      <c r="Q48" s="682"/>
      <c r="R48" s="682"/>
      <c r="S48" s="682"/>
      <c r="T48" s="682"/>
      <c r="U48" s="682"/>
      <c r="V48" s="682"/>
      <c r="W48" s="682"/>
      <c r="X48" s="682"/>
      <c r="Y48" s="682"/>
    </row>
    <row r="49" spans="1:25" s="87" customFormat="1" ht="16.899999999999999" customHeight="1" x14ac:dyDescent="0.2">
      <c r="A49" s="138" t="s">
        <v>1028</v>
      </c>
      <c r="B49" s="31">
        <v>20</v>
      </c>
      <c r="C49" s="1013">
        <v>17</v>
      </c>
      <c r="D49" s="1049" t="s">
        <v>969</v>
      </c>
      <c r="E49" s="1019"/>
      <c r="F49" s="682"/>
      <c r="G49" s="682"/>
      <c r="H49" s="1024"/>
      <c r="I49" s="1024"/>
      <c r="J49" s="1025"/>
      <c r="K49" s="1025"/>
      <c r="L49" s="1025"/>
      <c r="M49" s="1025"/>
      <c r="N49" s="682"/>
      <c r="O49" s="682"/>
      <c r="P49" s="682"/>
      <c r="Q49" s="682"/>
      <c r="R49" s="682"/>
      <c r="S49" s="682"/>
      <c r="T49" s="682"/>
      <c r="U49" s="682"/>
      <c r="V49" s="682"/>
      <c r="W49" s="682"/>
      <c r="X49" s="682"/>
      <c r="Y49" s="682"/>
    </row>
    <row r="50" spans="1:25" s="87" customFormat="1" ht="16.899999999999999" customHeight="1" x14ac:dyDescent="0.2">
      <c r="A50" s="138" t="s">
        <v>1029</v>
      </c>
      <c r="B50" s="31">
        <v>10</v>
      </c>
      <c r="C50" s="1013">
        <v>9</v>
      </c>
      <c r="D50" s="1050" t="s">
        <v>970</v>
      </c>
      <c r="E50" s="1019"/>
      <c r="F50" s="682"/>
      <c r="G50" s="682"/>
      <c r="H50" s="1024"/>
      <c r="I50" s="1024"/>
      <c r="J50" s="1025"/>
      <c r="K50" s="1025"/>
      <c r="L50" s="1025"/>
      <c r="M50" s="1025"/>
      <c r="N50" s="682"/>
      <c r="O50" s="682"/>
      <c r="P50" s="682"/>
      <c r="Q50" s="682"/>
      <c r="R50" s="682"/>
      <c r="S50" s="682"/>
      <c r="T50" s="682"/>
      <c r="U50" s="682"/>
      <c r="V50" s="682"/>
      <c r="W50" s="682"/>
      <c r="X50" s="682"/>
      <c r="Y50" s="682"/>
    </row>
    <row r="51" spans="1:25" s="88" customFormat="1" ht="16.899999999999999" customHeight="1" x14ac:dyDescent="0.2">
      <c r="A51" s="148" t="s">
        <v>1025</v>
      </c>
      <c r="B51" s="39">
        <v>15</v>
      </c>
      <c r="C51" s="1051">
        <v>12</v>
      </c>
      <c r="D51" s="1052" t="s">
        <v>971</v>
      </c>
      <c r="E51" s="1034"/>
      <c r="F51" s="685"/>
      <c r="G51" s="685"/>
      <c r="H51" s="1026"/>
      <c r="I51" s="1026"/>
      <c r="J51" s="1027"/>
      <c r="K51" s="1027"/>
      <c r="L51" s="1027"/>
      <c r="M51" s="1027"/>
      <c r="N51" s="685"/>
      <c r="O51" s="685"/>
      <c r="P51" s="685"/>
      <c r="Q51" s="685"/>
      <c r="R51" s="685"/>
      <c r="S51" s="685"/>
      <c r="T51" s="685"/>
      <c r="U51" s="685"/>
      <c r="V51" s="685"/>
      <c r="W51" s="685"/>
      <c r="X51" s="685"/>
      <c r="Y51" s="685"/>
    </row>
    <row r="52" spans="1:25" s="198" customFormat="1" ht="16.899999999999999" customHeight="1" thickBot="1" x14ac:dyDescent="0.25">
      <c r="A52" s="169" t="s">
        <v>972</v>
      </c>
      <c r="B52" s="37">
        <f>SUM(B43:B51)</f>
        <v>100</v>
      </c>
      <c r="C52" s="1080">
        <f>SUM(C43:C51)</f>
        <v>90</v>
      </c>
      <c r="D52" s="1020"/>
      <c r="E52" s="1020"/>
      <c r="F52" s="687"/>
      <c r="G52" s="687"/>
      <c r="H52" s="1028"/>
      <c r="I52" s="1028"/>
      <c r="J52" s="1029"/>
      <c r="K52" s="1029"/>
      <c r="L52" s="1029"/>
      <c r="M52" s="1029"/>
      <c r="N52" s="687"/>
      <c r="O52" s="687"/>
      <c r="P52" s="687"/>
      <c r="Q52" s="687"/>
      <c r="R52" s="687"/>
      <c r="S52" s="687"/>
      <c r="T52" s="687"/>
      <c r="U52" s="687"/>
      <c r="V52" s="687"/>
      <c r="W52" s="687"/>
      <c r="X52" s="687"/>
      <c r="Y52" s="687"/>
    </row>
    <row r="53" spans="1:25" s="1008" customFormat="1" ht="16.5" customHeight="1" x14ac:dyDescent="0.2">
      <c r="C53" s="1035"/>
      <c r="D53" s="1035"/>
    </row>
    <row r="54" spans="1:25" s="682" customFormat="1" ht="16.5" customHeight="1" x14ac:dyDescent="0.2">
      <c r="C54" s="1019"/>
      <c r="D54" s="1019"/>
    </row>
    <row r="55" spans="1:25" s="682" customFormat="1" ht="16.5" customHeight="1" x14ac:dyDescent="0.2">
      <c r="C55" s="1019"/>
      <c r="D55" s="1019"/>
    </row>
    <row r="56" spans="1:25" s="682" customFormat="1" ht="16.5" customHeight="1" x14ac:dyDescent="0.2">
      <c r="C56" s="1019"/>
      <c r="D56" s="1019"/>
    </row>
    <row r="57" spans="1:25" s="682" customFormat="1" ht="16.5" customHeight="1" x14ac:dyDescent="0.2">
      <c r="C57" s="1019"/>
      <c r="D57" s="1019"/>
    </row>
    <row r="58" spans="1:25" s="682" customFormat="1" ht="16.5" customHeight="1" x14ac:dyDescent="0.2">
      <c r="C58" s="1019"/>
      <c r="D58" s="1019"/>
    </row>
    <row r="59" spans="1:25" s="682" customFormat="1" ht="16.5" customHeight="1" x14ac:dyDescent="0.2">
      <c r="C59" s="1019"/>
      <c r="D59" s="1019"/>
    </row>
    <row r="60" spans="1:25" s="682" customFormat="1" ht="16.5" customHeight="1" x14ac:dyDescent="0.2">
      <c r="C60" s="1019"/>
      <c r="D60" s="1019"/>
    </row>
    <row r="61" spans="1:25" s="682" customFormat="1" ht="16.5" customHeight="1" x14ac:dyDescent="0.2">
      <c r="C61" s="1019"/>
      <c r="D61" s="1019"/>
    </row>
    <row r="62" spans="1:25" s="682" customFormat="1" ht="16.5" customHeight="1" x14ac:dyDescent="0.2">
      <c r="C62" s="1019"/>
      <c r="D62" s="1019"/>
    </row>
    <row r="63" spans="1:25" s="682" customFormat="1" ht="16.5" customHeight="1" x14ac:dyDescent="0.2">
      <c r="C63" s="1019"/>
      <c r="D63" s="1019"/>
    </row>
    <row r="64" spans="1:25" s="682" customFormat="1" ht="16.5" customHeight="1" x14ac:dyDescent="0.2">
      <c r="C64" s="1019"/>
      <c r="D64" s="1019"/>
    </row>
    <row r="65" spans="3:4" s="682" customFormat="1" ht="16.5" customHeight="1" x14ac:dyDescent="0.2">
      <c r="C65" s="1019"/>
      <c r="D65" s="1019"/>
    </row>
    <row r="66" spans="3:4" s="682" customFormat="1" ht="16.5" customHeight="1" x14ac:dyDescent="0.2">
      <c r="C66" s="1019"/>
      <c r="D66" s="1019"/>
    </row>
    <row r="67" spans="3:4" s="682" customFormat="1" ht="16.5" customHeight="1" x14ac:dyDescent="0.2">
      <c r="C67" s="1019"/>
      <c r="D67" s="1019"/>
    </row>
    <row r="68" spans="3:4" s="682" customFormat="1" ht="16.5" customHeight="1" x14ac:dyDescent="0.2">
      <c r="C68" s="1019"/>
      <c r="D68" s="1019"/>
    </row>
    <row r="69" spans="3:4" s="682" customFormat="1" ht="16.5" customHeight="1" x14ac:dyDescent="0.2">
      <c r="C69" s="1019"/>
      <c r="D69" s="1019"/>
    </row>
    <row r="70" spans="3:4" s="682" customFormat="1" ht="16.5" customHeight="1" x14ac:dyDescent="0.2">
      <c r="C70" s="1019"/>
      <c r="D70" s="1019"/>
    </row>
    <row r="71" spans="3:4" s="682" customFormat="1" ht="16.5" customHeight="1" x14ac:dyDescent="0.2">
      <c r="C71" s="1019"/>
      <c r="D71" s="1019"/>
    </row>
    <row r="72" spans="3:4" s="1008" customFormat="1" ht="16.5" customHeight="1" x14ac:dyDescent="0.2">
      <c r="C72" s="1035"/>
      <c r="D72" s="1035"/>
    </row>
    <row r="73" spans="3:4" s="682" customFormat="1" ht="16.5" customHeight="1" x14ac:dyDescent="0.2">
      <c r="C73" s="1019"/>
      <c r="D73" s="1019"/>
    </row>
    <row r="74" spans="3:4" s="682" customFormat="1" ht="16.5" customHeight="1" x14ac:dyDescent="0.2">
      <c r="C74" s="1019"/>
      <c r="D74" s="1019"/>
    </row>
    <row r="75" spans="3:4" s="682" customFormat="1" ht="16.5" customHeight="1" x14ac:dyDescent="0.2">
      <c r="C75" s="1019"/>
      <c r="D75" s="1019"/>
    </row>
    <row r="76" spans="3:4" s="682" customFormat="1" ht="16.5" customHeight="1" x14ac:dyDescent="0.2">
      <c r="C76" s="1019"/>
      <c r="D76" s="1019"/>
    </row>
    <row r="77" spans="3:4" s="682" customFormat="1" ht="16.5" customHeight="1" x14ac:dyDescent="0.2">
      <c r="C77" s="1019"/>
      <c r="D77" s="1019"/>
    </row>
    <row r="78" spans="3:4" s="682" customFormat="1" ht="16.5" customHeight="1" x14ac:dyDescent="0.2">
      <c r="C78" s="1019"/>
      <c r="D78" s="1019"/>
    </row>
    <row r="79" spans="3:4" s="682" customFormat="1" ht="16.5" customHeight="1" x14ac:dyDescent="0.2">
      <c r="C79" s="1019"/>
      <c r="D79" s="1019"/>
    </row>
    <row r="80" spans="3:4" s="682" customFormat="1" ht="16.5" customHeight="1" x14ac:dyDescent="0.2">
      <c r="C80" s="1019"/>
      <c r="D80" s="1019"/>
    </row>
    <row r="81" spans="3:4" s="682" customFormat="1" ht="16.5" customHeight="1" x14ac:dyDescent="0.2">
      <c r="C81" s="1019"/>
      <c r="D81" s="1019"/>
    </row>
    <row r="82" spans="3:4" s="682" customFormat="1" ht="16.5" customHeight="1" x14ac:dyDescent="0.2">
      <c r="C82" s="1019"/>
      <c r="D82" s="1019"/>
    </row>
    <row r="83" spans="3:4" s="682" customFormat="1" ht="16.5" customHeight="1" x14ac:dyDescent="0.2">
      <c r="C83" s="1019"/>
      <c r="D83" s="1019"/>
    </row>
    <row r="84" spans="3:4" s="682" customFormat="1" ht="16.5" customHeight="1" x14ac:dyDescent="0.2">
      <c r="C84" s="1019"/>
      <c r="D84" s="1019"/>
    </row>
    <row r="85" spans="3:4" s="682" customFormat="1" ht="16.5" customHeight="1" x14ac:dyDescent="0.2">
      <c r="C85" s="1019"/>
      <c r="D85" s="1019"/>
    </row>
    <row r="86" spans="3:4" s="682" customFormat="1" ht="16.5" customHeight="1" x14ac:dyDescent="0.2">
      <c r="C86" s="1019"/>
      <c r="D86" s="1019"/>
    </row>
    <row r="87" spans="3:4" s="682" customFormat="1" ht="16.5" customHeight="1" x14ac:dyDescent="0.2">
      <c r="C87" s="1019"/>
      <c r="D87" s="1019"/>
    </row>
    <row r="88" spans="3:4" s="682" customFormat="1" ht="16.5" customHeight="1" x14ac:dyDescent="0.2">
      <c r="C88" s="1019"/>
      <c r="D88" s="1019"/>
    </row>
    <row r="89" spans="3:4" s="682" customFormat="1" ht="16.5" customHeight="1" x14ac:dyDescent="0.2">
      <c r="C89" s="1019"/>
      <c r="D89" s="1019"/>
    </row>
    <row r="90" spans="3:4" s="682" customFormat="1" ht="16.5" customHeight="1" x14ac:dyDescent="0.2">
      <c r="C90" s="1019"/>
      <c r="D90" s="1019"/>
    </row>
    <row r="91" spans="3:4" s="682" customFormat="1" ht="16.5" customHeight="1" x14ac:dyDescent="0.2">
      <c r="C91" s="1019"/>
      <c r="D91" s="1019"/>
    </row>
    <row r="92" spans="3:4" s="682" customFormat="1" ht="16.5" customHeight="1" x14ac:dyDescent="0.2">
      <c r="C92" s="1019"/>
      <c r="D92" s="1019"/>
    </row>
    <row r="93" spans="3:4" s="682" customFormat="1" ht="16.5" customHeight="1" x14ac:dyDescent="0.2">
      <c r="C93" s="1019"/>
      <c r="D93" s="1019"/>
    </row>
    <row r="94" spans="3:4" s="682" customFormat="1" ht="16.5" customHeight="1" x14ac:dyDescent="0.2">
      <c r="C94" s="1019"/>
      <c r="D94" s="1019"/>
    </row>
    <row r="95" spans="3:4" s="682" customFormat="1" ht="16.5" customHeight="1" x14ac:dyDescent="0.2">
      <c r="C95" s="1019"/>
      <c r="D95" s="1019"/>
    </row>
    <row r="96" spans="3:4" s="682" customFormat="1" ht="16.5" customHeight="1" x14ac:dyDescent="0.2">
      <c r="C96" s="1019"/>
      <c r="D96" s="1019"/>
    </row>
    <row r="97" spans="3:4" s="682" customFormat="1" ht="16.5" customHeight="1" x14ac:dyDescent="0.2">
      <c r="C97" s="1019"/>
      <c r="D97" s="1019"/>
    </row>
    <row r="98" spans="3:4" s="682" customFormat="1" ht="16.5" customHeight="1" x14ac:dyDescent="0.2">
      <c r="C98" s="1019"/>
      <c r="D98" s="1019"/>
    </row>
    <row r="99" spans="3:4" s="682" customFormat="1" ht="16.5" customHeight="1" x14ac:dyDescent="0.2">
      <c r="C99" s="1019"/>
      <c r="D99" s="1019"/>
    </row>
    <row r="100" spans="3:4" s="682" customFormat="1" ht="16.5" customHeight="1" x14ac:dyDescent="0.2">
      <c r="C100" s="1019"/>
      <c r="D100" s="1019"/>
    </row>
    <row r="101" spans="3:4" s="682" customFormat="1" ht="16.5" customHeight="1" x14ac:dyDescent="0.2">
      <c r="C101" s="1019"/>
      <c r="D101" s="1019"/>
    </row>
    <row r="102" spans="3:4" s="682" customFormat="1" ht="16.5" customHeight="1" x14ac:dyDescent="0.2">
      <c r="C102" s="1019"/>
      <c r="D102" s="1019"/>
    </row>
    <row r="103" spans="3:4" s="682" customFormat="1" ht="16.5" customHeight="1" x14ac:dyDescent="0.2">
      <c r="C103" s="1019"/>
      <c r="D103" s="1019"/>
    </row>
    <row r="104" spans="3:4" s="682" customFormat="1" ht="16.5" customHeight="1" x14ac:dyDescent="0.2">
      <c r="C104" s="1019"/>
      <c r="D104" s="1019"/>
    </row>
    <row r="105" spans="3:4" s="682" customFormat="1" ht="16.5" customHeight="1" x14ac:dyDescent="0.2">
      <c r="C105" s="1019"/>
      <c r="D105" s="1019"/>
    </row>
    <row r="106" spans="3:4" s="682" customFormat="1" ht="16.5" customHeight="1" x14ac:dyDescent="0.2">
      <c r="C106" s="1019"/>
      <c r="D106" s="1019"/>
    </row>
    <row r="107" spans="3:4" s="682" customFormat="1" ht="16.5" customHeight="1" x14ac:dyDescent="0.2">
      <c r="C107" s="1019"/>
      <c r="D107" s="1019"/>
    </row>
    <row r="108" spans="3:4" s="682" customFormat="1" ht="16.5" customHeight="1" x14ac:dyDescent="0.2">
      <c r="C108" s="1019"/>
      <c r="D108" s="1019"/>
    </row>
    <row r="109" spans="3:4" s="682" customFormat="1" ht="16.5" customHeight="1" x14ac:dyDescent="0.2">
      <c r="C109" s="1019"/>
      <c r="D109" s="1019"/>
    </row>
    <row r="110" spans="3:4" s="682" customFormat="1" ht="16.5" customHeight="1" x14ac:dyDescent="0.2">
      <c r="C110" s="1019"/>
      <c r="D110" s="1019"/>
    </row>
  </sheetData>
  <mergeCells count="1">
    <mergeCell ref="A41:D41"/>
  </mergeCells>
  <phoneticPr fontId="137" type="noConversion"/>
  <pageMargins left="0.7" right="0.7" top="0.75" bottom="0.75" header="0.3" footer="0.3"/>
  <drawing r:id="rId1"/>
  <legacyDrawing r:id="rId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2060"/>
  </sheetPr>
  <dimension ref="A1:BZ73"/>
  <sheetViews>
    <sheetView view="pageBreakPreview" zoomScaleSheetLayoutView="100" workbookViewId="0">
      <pane xSplit="1" ySplit="3" topLeftCell="B4" activePane="bottomRight" state="frozen"/>
      <selection pane="topRight" activeCell="B1" sqref="B1"/>
      <selection pane="bottomLeft" activeCell="A4" sqref="A4"/>
      <selection pane="bottomRight" activeCell="A13" sqref="A13"/>
    </sheetView>
  </sheetViews>
  <sheetFormatPr defaultColWidth="9.5703125" defaultRowHeight="16.5" customHeight="1" x14ac:dyDescent="0.2"/>
  <cols>
    <col min="1" max="1" width="35.5703125" style="10" customWidth="1"/>
    <col min="2" max="2" width="9.5703125" style="10"/>
    <col min="3" max="10" width="8.5703125" style="10" customWidth="1"/>
    <col min="11" max="12" width="9.5703125" style="10"/>
    <col min="13" max="20" width="8.5703125" style="10" customWidth="1"/>
    <col min="21" max="22" width="9.5703125" style="10"/>
    <col min="23" max="30" width="8.5703125" style="10" customWidth="1"/>
    <col min="31" max="32" width="9.5703125" style="10"/>
    <col min="33" max="40" width="8.5703125" style="10" customWidth="1"/>
    <col min="41" max="42" width="9.5703125" style="10"/>
    <col min="43" max="50" width="8.5703125" style="10" customWidth="1"/>
    <col min="51" max="56" width="9.5703125" style="10"/>
    <col min="57" max="67" width="8.5703125" style="87" customWidth="1"/>
    <col min="68" max="256" width="8.5703125" style="10" customWidth="1"/>
    <col min="257" max="16384" width="9.5703125" style="10"/>
  </cols>
  <sheetData>
    <row r="1" spans="1:78" s="245" customFormat="1" ht="21" customHeight="1" x14ac:dyDescent="0.2">
      <c r="A1" s="570" t="s">
        <v>610</v>
      </c>
      <c r="B1" s="618">
        <v>2011</v>
      </c>
      <c r="C1" s="614"/>
      <c r="D1" s="614"/>
      <c r="E1" s="614"/>
      <c r="F1" s="614"/>
      <c r="G1" s="614"/>
      <c r="H1" s="614"/>
      <c r="I1" s="614"/>
      <c r="J1" s="614"/>
      <c r="K1" s="615"/>
      <c r="L1" s="616">
        <f>B1+1</f>
        <v>2012</v>
      </c>
      <c r="M1" s="614"/>
      <c r="N1" s="614"/>
      <c r="O1" s="614"/>
      <c r="P1" s="614"/>
      <c r="Q1" s="614"/>
      <c r="R1" s="614"/>
      <c r="S1" s="614"/>
      <c r="T1" s="614"/>
      <c r="U1" s="617"/>
      <c r="V1" s="616">
        <f>L1+1</f>
        <v>2013</v>
      </c>
      <c r="W1" s="614"/>
      <c r="X1" s="614"/>
      <c r="Y1" s="614"/>
      <c r="Z1" s="614"/>
      <c r="AA1" s="614"/>
      <c r="AB1" s="614"/>
      <c r="AC1" s="614"/>
      <c r="AD1" s="614"/>
      <c r="AE1" s="617"/>
      <c r="AF1" s="616">
        <f>V1+1</f>
        <v>2014</v>
      </c>
      <c r="AG1" s="614"/>
      <c r="AH1" s="614"/>
      <c r="AI1" s="614"/>
      <c r="AJ1" s="614"/>
      <c r="AK1" s="614"/>
      <c r="AL1" s="614"/>
      <c r="AM1" s="614"/>
      <c r="AN1" s="614"/>
      <c r="AO1" s="617"/>
      <c r="AP1" s="616">
        <f>AF1+1</f>
        <v>2015</v>
      </c>
      <c r="AQ1" s="614"/>
      <c r="AR1" s="614"/>
      <c r="AS1" s="614"/>
      <c r="AT1" s="614"/>
      <c r="AU1" s="614"/>
      <c r="AV1" s="614"/>
      <c r="AW1" s="614"/>
      <c r="AX1" s="614"/>
      <c r="AY1" s="617"/>
      <c r="BE1" s="245" t="s">
        <v>1075</v>
      </c>
      <c r="BF1" s="245" t="s">
        <v>1075</v>
      </c>
      <c r="BG1" s="245" t="s">
        <v>1075</v>
      </c>
      <c r="BH1" s="245" t="s">
        <v>1075</v>
      </c>
      <c r="BI1" s="245" t="s">
        <v>1075</v>
      </c>
      <c r="BJ1" s="245" t="s">
        <v>1075</v>
      </c>
      <c r="BK1" s="245" t="s">
        <v>1075</v>
      </c>
      <c r="BL1" s="245" t="s">
        <v>1075</v>
      </c>
      <c r="BM1" s="245" t="s">
        <v>1075</v>
      </c>
      <c r="BN1" s="245" t="s">
        <v>1075</v>
      </c>
      <c r="BO1" s="245" t="s">
        <v>1075</v>
      </c>
      <c r="BP1" s="245" t="s">
        <v>1075</v>
      </c>
      <c r="BQ1" s="245" t="s">
        <v>1075</v>
      </c>
      <c r="BR1" s="245" t="s">
        <v>1075</v>
      </c>
      <c r="BS1" s="245" t="s">
        <v>1075</v>
      </c>
      <c r="BT1" s="245" t="s">
        <v>1075</v>
      </c>
      <c r="BU1" s="245" t="s">
        <v>1075</v>
      </c>
      <c r="BV1" s="245" t="s">
        <v>1075</v>
      </c>
      <c r="BW1" s="245" t="s">
        <v>1075</v>
      </c>
      <c r="BX1" s="245" t="s">
        <v>1075</v>
      </c>
      <c r="BY1" s="245" t="s">
        <v>1075</v>
      </c>
      <c r="BZ1" s="245" t="s">
        <v>1075</v>
      </c>
    </row>
    <row r="2" spans="1:78" s="7" customFormat="1" ht="16.5" customHeight="1" x14ac:dyDescent="0.2">
      <c r="B2" s="46" t="s">
        <v>120</v>
      </c>
      <c r="C2" s="50" t="s">
        <v>39</v>
      </c>
      <c r="D2" s="50"/>
      <c r="E2" s="50"/>
      <c r="F2" s="50"/>
      <c r="G2" s="50"/>
      <c r="H2" s="50"/>
      <c r="I2" s="50"/>
      <c r="J2" s="50"/>
      <c r="K2" s="46" t="s">
        <v>122</v>
      </c>
      <c r="L2" s="46" t="s">
        <v>120</v>
      </c>
      <c r="M2" s="50" t="s">
        <v>39</v>
      </c>
      <c r="N2" s="50"/>
      <c r="O2" s="50"/>
      <c r="P2" s="50"/>
      <c r="Q2" s="50"/>
      <c r="R2" s="50"/>
      <c r="S2" s="50"/>
      <c r="T2" s="50"/>
      <c r="U2" s="46" t="s">
        <v>122</v>
      </c>
      <c r="V2" s="46" t="s">
        <v>120</v>
      </c>
      <c r="W2" s="50" t="s">
        <v>39</v>
      </c>
      <c r="X2" s="50"/>
      <c r="Y2" s="50"/>
      <c r="Z2" s="50"/>
      <c r="AA2" s="50"/>
      <c r="AB2" s="50"/>
      <c r="AC2" s="50"/>
      <c r="AD2" s="50"/>
      <c r="AE2" s="46" t="s">
        <v>122</v>
      </c>
      <c r="AF2" s="46" t="s">
        <v>120</v>
      </c>
      <c r="AG2" s="50" t="s">
        <v>39</v>
      </c>
      <c r="AH2" s="50"/>
      <c r="AI2" s="50"/>
      <c r="AJ2" s="50"/>
      <c r="AK2" s="50"/>
      <c r="AL2" s="50"/>
      <c r="AM2" s="50"/>
      <c r="AN2" s="50"/>
      <c r="AO2" s="46" t="s">
        <v>122</v>
      </c>
      <c r="AP2" s="46" t="s">
        <v>120</v>
      </c>
      <c r="AQ2" s="50" t="s">
        <v>39</v>
      </c>
      <c r="AR2" s="50"/>
      <c r="AS2" s="50"/>
      <c r="AT2" s="50"/>
      <c r="AU2" s="50"/>
      <c r="AV2" s="50"/>
      <c r="AW2" s="50"/>
      <c r="AX2" s="50"/>
      <c r="AY2" s="46" t="s">
        <v>122</v>
      </c>
      <c r="AZ2" s="50" t="s">
        <v>154</v>
      </c>
      <c r="BA2" s="50"/>
      <c r="BB2" s="50"/>
      <c r="BC2" s="50"/>
      <c r="BD2" s="50"/>
      <c r="BE2" s="82"/>
      <c r="BF2" s="82"/>
      <c r="BG2" s="82"/>
      <c r="BH2" s="82"/>
      <c r="BI2" s="82"/>
      <c r="BJ2" s="82"/>
      <c r="BK2" s="82"/>
      <c r="BL2" s="82"/>
      <c r="BM2" s="82"/>
      <c r="BN2" s="82"/>
      <c r="BO2" s="82"/>
    </row>
    <row r="3" spans="1:78" s="7" customFormat="1" ht="16.5" customHeight="1" x14ac:dyDescent="0.2">
      <c r="A3" s="18"/>
      <c r="B3" s="47" t="s">
        <v>121</v>
      </c>
      <c r="C3" s="114" t="s">
        <v>155</v>
      </c>
      <c r="D3" s="114" t="s">
        <v>156</v>
      </c>
      <c r="E3" s="114" t="s">
        <v>157</v>
      </c>
      <c r="F3" s="114" t="s">
        <v>158</v>
      </c>
      <c r="G3" s="114" t="s">
        <v>159</v>
      </c>
      <c r="H3" s="114" t="s">
        <v>160</v>
      </c>
      <c r="I3" s="114" t="s">
        <v>161</v>
      </c>
      <c r="J3" s="114" t="s">
        <v>162</v>
      </c>
      <c r="K3" s="47" t="s">
        <v>121</v>
      </c>
      <c r="L3" s="47" t="s">
        <v>121</v>
      </c>
      <c r="M3" s="114" t="s">
        <v>155</v>
      </c>
      <c r="N3" s="114" t="s">
        <v>156</v>
      </c>
      <c r="O3" s="114" t="s">
        <v>157</v>
      </c>
      <c r="P3" s="114" t="s">
        <v>158</v>
      </c>
      <c r="Q3" s="114" t="s">
        <v>159</v>
      </c>
      <c r="R3" s="114" t="s">
        <v>160</v>
      </c>
      <c r="S3" s="114" t="s">
        <v>161</v>
      </c>
      <c r="T3" s="114" t="s">
        <v>162</v>
      </c>
      <c r="U3" s="47" t="s">
        <v>121</v>
      </c>
      <c r="V3" s="47" t="s">
        <v>121</v>
      </c>
      <c r="W3" s="114" t="s">
        <v>155</v>
      </c>
      <c r="X3" s="114" t="s">
        <v>156</v>
      </c>
      <c r="Y3" s="114" t="s">
        <v>157</v>
      </c>
      <c r="Z3" s="114" t="s">
        <v>158</v>
      </c>
      <c r="AA3" s="114" t="s">
        <v>159</v>
      </c>
      <c r="AB3" s="114" t="s">
        <v>160</v>
      </c>
      <c r="AC3" s="114" t="s">
        <v>161</v>
      </c>
      <c r="AD3" s="114" t="s">
        <v>162</v>
      </c>
      <c r="AE3" s="47" t="s">
        <v>121</v>
      </c>
      <c r="AF3" s="47" t="s">
        <v>121</v>
      </c>
      <c r="AG3" s="114" t="s">
        <v>155</v>
      </c>
      <c r="AH3" s="114" t="s">
        <v>156</v>
      </c>
      <c r="AI3" s="114" t="s">
        <v>157</v>
      </c>
      <c r="AJ3" s="114" t="s">
        <v>158</v>
      </c>
      <c r="AK3" s="114" t="s">
        <v>159</v>
      </c>
      <c r="AL3" s="114" t="s">
        <v>160</v>
      </c>
      <c r="AM3" s="114" t="s">
        <v>161</v>
      </c>
      <c r="AN3" s="114" t="s">
        <v>162</v>
      </c>
      <c r="AO3" s="47" t="s">
        <v>121</v>
      </c>
      <c r="AP3" s="47" t="s">
        <v>121</v>
      </c>
      <c r="AQ3" s="114" t="s">
        <v>155</v>
      </c>
      <c r="AR3" s="114" t="s">
        <v>156</v>
      </c>
      <c r="AS3" s="114" t="s">
        <v>157</v>
      </c>
      <c r="AT3" s="114" t="s">
        <v>158</v>
      </c>
      <c r="AU3" s="114" t="s">
        <v>159</v>
      </c>
      <c r="AV3" s="114" t="s">
        <v>160</v>
      </c>
      <c r="AW3" s="114" t="s">
        <v>161</v>
      </c>
      <c r="AX3" s="114" t="s">
        <v>162</v>
      </c>
      <c r="AY3" s="47" t="s">
        <v>121</v>
      </c>
      <c r="AZ3" s="308">
        <f>B1</f>
        <v>2011</v>
      </c>
      <c r="BA3" s="308">
        <f>AZ3+1</f>
        <v>2012</v>
      </c>
      <c r="BB3" s="308">
        <f>BA3+1</f>
        <v>2013</v>
      </c>
      <c r="BC3" s="308">
        <f>BB3+1</f>
        <v>2014</v>
      </c>
      <c r="BD3" s="308">
        <f>BC3+1</f>
        <v>2015</v>
      </c>
      <c r="BE3" s="82"/>
      <c r="BF3" s="82"/>
      <c r="BG3" s="82"/>
      <c r="BH3" s="82"/>
      <c r="BI3" s="82"/>
      <c r="BJ3" s="82"/>
      <c r="BK3" s="82"/>
      <c r="BL3" s="82"/>
      <c r="BM3" s="82"/>
      <c r="BN3" s="82"/>
      <c r="BO3" s="82"/>
    </row>
    <row r="4" spans="1:78" s="82" customFormat="1" ht="16.5" customHeight="1" x14ac:dyDescent="0.2">
      <c r="A4" s="18" t="s">
        <v>67</v>
      </c>
      <c r="B4" s="223"/>
      <c r="C4" s="611"/>
      <c r="D4" s="611"/>
      <c r="E4" s="611"/>
      <c r="F4" s="611"/>
      <c r="G4" s="611"/>
      <c r="H4" s="611"/>
      <c r="I4" s="611"/>
      <c r="J4" s="611"/>
      <c r="K4" s="223"/>
      <c r="L4" s="223"/>
      <c r="M4" s="611"/>
      <c r="N4" s="611"/>
      <c r="O4" s="611"/>
      <c r="P4" s="611"/>
      <c r="Q4" s="611"/>
      <c r="R4" s="611"/>
      <c r="S4" s="611"/>
      <c r="T4" s="611"/>
      <c r="U4" s="223"/>
      <c r="V4" s="223"/>
      <c r="W4" s="611"/>
      <c r="X4" s="611"/>
      <c r="Y4" s="611"/>
      <c r="Z4" s="611"/>
      <c r="AA4" s="611"/>
      <c r="AB4" s="611"/>
      <c r="AC4" s="611"/>
      <c r="AD4" s="611"/>
      <c r="AE4" s="223"/>
      <c r="AF4" s="223"/>
      <c r="AG4" s="611"/>
      <c r="AH4" s="611"/>
      <c r="AI4" s="611"/>
      <c r="AJ4" s="611"/>
      <c r="AK4" s="611"/>
      <c r="AL4" s="611"/>
      <c r="AM4" s="611"/>
      <c r="AN4" s="611"/>
      <c r="AO4" s="223"/>
      <c r="AP4" s="223"/>
      <c r="AQ4" s="611"/>
      <c r="AR4" s="611"/>
      <c r="AS4" s="611"/>
      <c r="AT4" s="611"/>
      <c r="AU4" s="611"/>
      <c r="AV4" s="611"/>
      <c r="AW4" s="611"/>
      <c r="AX4" s="611"/>
      <c r="AY4" s="223"/>
      <c r="AZ4" s="223"/>
      <c r="BA4" s="223"/>
      <c r="BB4" s="223"/>
      <c r="BC4" s="223"/>
      <c r="BD4" s="223"/>
    </row>
    <row r="5" spans="1:78" s="87" customFormat="1" ht="16.5" customHeight="1" x14ac:dyDescent="0.2">
      <c r="A5" s="12" t="s">
        <v>247</v>
      </c>
      <c r="B5" s="612"/>
      <c r="C5" s="613"/>
      <c r="D5" s="613"/>
      <c r="E5" s="613"/>
      <c r="F5" s="613"/>
      <c r="G5" s="613"/>
      <c r="H5" s="613"/>
      <c r="I5" s="613"/>
      <c r="J5" s="613"/>
      <c r="K5" s="612"/>
      <c r="L5" s="612"/>
      <c r="M5" s="613"/>
      <c r="N5" s="613"/>
      <c r="O5" s="613"/>
      <c r="P5" s="613"/>
      <c r="Q5" s="613"/>
      <c r="R5" s="613"/>
      <c r="S5" s="613"/>
      <c r="T5" s="613"/>
      <c r="U5" s="612"/>
      <c r="V5" s="612"/>
      <c r="W5" s="613"/>
      <c r="X5" s="613"/>
      <c r="Y5" s="613"/>
      <c r="Z5" s="613"/>
      <c r="AA5" s="613"/>
      <c r="AB5" s="613"/>
      <c r="AC5" s="613"/>
      <c r="AD5" s="613"/>
      <c r="AE5" s="612"/>
      <c r="AF5" s="612"/>
      <c r="AG5" s="613"/>
      <c r="AH5" s="613"/>
      <c r="AI5" s="613"/>
      <c r="AJ5" s="613"/>
      <c r="AK5" s="613"/>
      <c r="AL5" s="613"/>
      <c r="AM5" s="613"/>
      <c r="AN5" s="613"/>
      <c r="AO5" s="612"/>
      <c r="AP5" s="612"/>
      <c r="AQ5" s="613"/>
      <c r="AR5" s="613"/>
      <c r="AS5" s="613"/>
      <c r="AT5" s="613"/>
      <c r="AU5" s="613"/>
      <c r="AV5" s="613"/>
      <c r="AW5" s="613"/>
      <c r="AX5" s="613"/>
      <c r="AY5" s="612"/>
      <c r="AZ5" s="612"/>
      <c r="BA5" s="612"/>
      <c r="BB5" s="612"/>
      <c r="BC5" s="612"/>
      <c r="BD5" s="612"/>
    </row>
    <row r="6" spans="1:78" ht="16.5" customHeight="1" x14ac:dyDescent="0.2">
      <c r="A6" s="10" t="s">
        <v>44</v>
      </c>
      <c r="B6" s="692">
        <v>1877</v>
      </c>
      <c r="C6" s="231"/>
      <c r="D6" s="231"/>
      <c r="E6" s="231"/>
      <c r="F6" s="231"/>
      <c r="G6" s="231"/>
      <c r="H6" s="231"/>
      <c r="I6" s="231"/>
      <c r="J6" s="231"/>
      <c r="K6" s="8">
        <f>SUM(B6:J6)</f>
        <v>1877</v>
      </c>
      <c r="L6" s="230">
        <v>1285</v>
      </c>
      <c r="M6" s="231"/>
      <c r="N6" s="231"/>
      <c r="O6" s="231"/>
      <c r="P6" s="231"/>
      <c r="Q6" s="231"/>
      <c r="R6" s="231"/>
      <c r="S6" s="231"/>
      <c r="T6" s="231"/>
      <c r="U6" s="8">
        <f>SUM(L6:T6)</f>
        <v>1285</v>
      </c>
      <c r="V6" s="230">
        <v>1194</v>
      </c>
      <c r="W6" s="231"/>
      <c r="X6" s="231"/>
      <c r="Y6" s="231"/>
      <c r="Z6" s="231"/>
      <c r="AA6" s="231"/>
      <c r="AB6" s="231"/>
      <c r="AC6" s="231"/>
      <c r="AD6" s="231"/>
      <c r="AE6" s="8">
        <f>SUM(V6:AD6)</f>
        <v>1194</v>
      </c>
      <c r="AF6" s="230">
        <v>827</v>
      </c>
      <c r="AG6" s="231"/>
      <c r="AH6" s="231"/>
      <c r="AI6" s="231"/>
      <c r="AJ6" s="231"/>
      <c r="AK6" s="231"/>
      <c r="AL6" s="231"/>
      <c r="AM6" s="231"/>
      <c r="AN6" s="231"/>
      <c r="AO6" s="8">
        <f>SUM(AF6:AN6)</f>
        <v>827</v>
      </c>
      <c r="AP6" s="230">
        <v>595</v>
      </c>
      <c r="AQ6" s="231"/>
      <c r="AR6" s="231"/>
      <c r="AS6" s="231"/>
      <c r="AT6" s="231"/>
      <c r="AU6" s="231"/>
      <c r="AV6" s="231"/>
      <c r="AW6" s="231"/>
      <c r="AX6" s="231"/>
      <c r="AY6" s="8">
        <f>SUM(AP6:AX6)</f>
        <v>595</v>
      </c>
      <c r="AZ6" s="8">
        <f t="shared" ref="AZ6:AZ23" si="0">K6</f>
        <v>1877</v>
      </c>
      <c r="BA6" s="8">
        <f t="shared" ref="BA6:BA23" si="1">U6</f>
        <v>1285</v>
      </c>
      <c r="BB6" s="8">
        <f t="shared" ref="BB6:BB23" si="2">AE6</f>
        <v>1194</v>
      </c>
      <c r="BC6" s="8">
        <f t="shared" ref="BC6:BC23" si="3">AO6</f>
        <v>827</v>
      </c>
      <c r="BD6" s="8">
        <f>AY6</f>
        <v>595</v>
      </c>
    </row>
    <row r="7" spans="1:78" ht="16.5" customHeight="1" x14ac:dyDescent="0.2">
      <c r="A7" s="10" t="s">
        <v>127</v>
      </c>
      <c r="B7" s="231">
        <v>0</v>
      </c>
      <c r="C7" s="231"/>
      <c r="D7" s="231"/>
      <c r="E7" s="231"/>
      <c r="F7" s="231"/>
      <c r="G7" s="231"/>
      <c r="H7" s="231"/>
      <c r="I7" s="231"/>
      <c r="J7" s="231"/>
      <c r="K7" s="10">
        <f>SUM(B7:J7)</f>
        <v>0</v>
      </c>
      <c r="L7" s="231">
        <v>0</v>
      </c>
      <c r="M7" s="231"/>
      <c r="N7" s="231"/>
      <c r="O7" s="231"/>
      <c r="P7" s="231"/>
      <c r="Q7" s="231"/>
      <c r="R7" s="231"/>
      <c r="S7" s="231"/>
      <c r="T7" s="231"/>
      <c r="U7" s="10">
        <f>SUM(L7:T7)</f>
        <v>0</v>
      </c>
      <c r="V7" s="231">
        <v>0</v>
      </c>
      <c r="W7" s="231"/>
      <c r="X7" s="231"/>
      <c r="Y7" s="231"/>
      <c r="Z7" s="231"/>
      <c r="AA7" s="231"/>
      <c r="AB7" s="231"/>
      <c r="AC7" s="231"/>
      <c r="AD7" s="231"/>
      <c r="AE7" s="10">
        <f>SUM(V7:AD7)</f>
        <v>0</v>
      </c>
      <c r="AF7" s="231">
        <v>0</v>
      </c>
      <c r="AG7" s="231"/>
      <c r="AH7" s="231"/>
      <c r="AI7" s="231"/>
      <c r="AJ7" s="231"/>
      <c r="AK7" s="231"/>
      <c r="AL7" s="231"/>
      <c r="AM7" s="231"/>
      <c r="AN7" s="231"/>
      <c r="AO7" s="10">
        <f>SUM(AF7:AN7)</f>
        <v>0</v>
      </c>
      <c r="AP7" s="231">
        <v>0</v>
      </c>
      <c r="AQ7" s="231"/>
      <c r="AR7" s="231"/>
      <c r="AS7" s="231"/>
      <c r="AT7" s="231"/>
      <c r="AU7" s="231"/>
      <c r="AV7" s="231"/>
      <c r="AW7" s="231"/>
      <c r="AX7" s="231"/>
      <c r="AY7" s="10">
        <f>SUM(AP7:AX7)</f>
        <v>0</v>
      </c>
      <c r="AZ7" s="10">
        <f t="shared" si="0"/>
        <v>0</v>
      </c>
      <c r="BA7" s="10">
        <f t="shared" si="1"/>
        <v>0</v>
      </c>
      <c r="BB7" s="10">
        <f t="shared" si="2"/>
        <v>0</v>
      </c>
      <c r="BC7" s="10">
        <f t="shared" si="3"/>
        <v>0</v>
      </c>
      <c r="BD7" s="10">
        <f>AY7</f>
        <v>0</v>
      </c>
    </row>
    <row r="8" spans="1:78" ht="16.5" customHeight="1" x14ac:dyDescent="0.2">
      <c r="A8" s="31" t="s">
        <v>124</v>
      </c>
      <c r="B8" s="231">
        <v>2148</v>
      </c>
      <c r="C8" s="231"/>
      <c r="D8" s="231"/>
      <c r="E8" s="231"/>
      <c r="F8" s="231"/>
      <c r="G8" s="231"/>
      <c r="H8" s="231"/>
      <c r="I8" s="231"/>
      <c r="J8" s="231"/>
      <c r="K8" s="10">
        <f>SUM(B8:J8)</f>
        <v>2148</v>
      </c>
      <c r="L8" s="231">
        <v>2214</v>
      </c>
      <c r="M8" s="231"/>
      <c r="N8" s="231"/>
      <c r="O8" s="231"/>
      <c r="P8" s="231"/>
      <c r="Q8" s="231"/>
      <c r="R8" s="231"/>
      <c r="S8" s="231"/>
      <c r="T8" s="231"/>
      <c r="U8" s="10">
        <f>SUM(L8:T8)</f>
        <v>2214</v>
      </c>
      <c r="V8" s="231">
        <v>2257</v>
      </c>
      <c r="W8" s="231"/>
      <c r="X8" s="231"/>
      <c r="Y8" s="231"/>
      <c r="Z8" s="231"/>
      <c r="AA8" s="231"/>
      <c r="AB8" s="231"/>
      <c r="AC8" s="231"/>
      <c r="AD8" s="231"/>
      <c r="AE8" s="10">
        <f>SUM(V8:AD8)</f>
        <v>2257</v>
      </c>
      <c r="AF8" s="231">
        <v>2381</v>
      </c>
      <c r="AG8" s="231"/>
      <c r="AH8" s="231"/>
      <c r="AI8" s="231"/>
      <c r="AJ8" s="231"/>
      <c r="AK8" s="231"/>
      <c r="AL8" s="231"/>
      <c r="AM8" s="231"/>
      <c r="AN8" s="231"/>
      <c r="AO8" s="10">
        <f>SUM(AF8:AN8)</f>
        <v>2381</v>
      </c>
      <c r="AP8" s="231">
        <v>197</v>
      </c>
      <c r="AQ8" s="231"/>
      <c r="AR8" s="231"/>
      <c r="AS8" s="231"/>
      <c r="AT8" s="231"/>
      <c r="AU8" s="231"/>
      <c r="AV8" s="231"/>
      <c r="AW8" s="231"/>
      <c r="AX8" s="231"/>
      <c r="AY8" s="10">
        <f>SUM(AP8:AX8)</f>
        <v>197</v>
      </c>
      <c r="AZ8" s="10">
        <f t="shared" si="0"/>
        <v>2148</v>
      </c>
      <c r="BA8" s="10">
        <f t="shared" si="1"/>
        <v>2214</v>
      </c>
      <c r="BB8" s="10">
        <f t="shared" si="2"/>
        <v>2257</v>
      </c>
      <c r="BC8" s="10">
        <f t="shared" si="3"/>
        <v>2381</v>
      </c>
      <c r="BD8" s="10">
        <f>AY8</f>
        <v>197</v>
      </c>
    </row>
    <row r="9" spans="1:78" s="20" customFormat="1" ht="16.5" customHeight="1" x14ac:dyDescent="0.2">
      <c r="A9" s="20" t="s">
        <v>128</v>
      </c>
      <c r="B9" s="232">
        <v>-115</v>
      </c>
      <c r="C9" s="232"/>
      <c r="D9" s="232"/>
      <c r="E9" s="232"/>
      <c r="F9" s="232"/>
      <c r="G9" s="232"/>
      <c r="H9" s="232"/>
      <c r="I9" s="232"/>
      <c r="J9" s="232"/>
      <c r="K9" s="20">
        <f>SUM(B9:J9)</f>
        <v>-115</v>
      </c>
      <c r="L9" s="232">
        <v>-85</v>
      </c>
      <c r="M9" s="232"/>
      <c r="N9" s="232"/>
      <c r="O9" s="232"/>
      <c r="P9" s="232"/>
      <c r="Q9" s="232"/>
      <c r="R9" s="232"/>
      <c r="S9" s="232"/>
      <c r="T9" s="232"/>
      <c r="U9" s="20">
        <f>SUM(L9:T9)</f>
        <v>-85</v>
      </c>
      <c r="V9" s="232">
        <v>-80</v>
      </c>
      <c r="W9" s="232"/>
      <c r="X9" s="232"/>
      <c r="Y9" s="232"/>
      <c r="Z9" s="232"/>
      <c r="AA9" s="232"/>
      <c r="AB9" s="232"/>
      <c r="AC9" s="232"/>
      <c r="AD9" s="232"/>
      <c r="AE9" s="20">
        <f>SUM(V9:AD9)</f>
        <v>-80</v>
      </c>
      <c r="AF9" s="232">
        <v>-75</v>
      </c>
      <c r="AG9" s="232"/>
      <c r="AH9" s="232"/>
      <c r="AI9" s="232"/>
      <c r="AJ9" s="232"/>
      <c r="AK9" s="232"/>
      <c r="AL9" s="232"/>
      <c r="AM9" s="232"/>
      <c r="AN9" s="232"/>
      <c r="AO9" s="20">
        <f>SUM(AF9:AN9)</f>
        <v>-75</v>
      </c>
      <c r="AP9" s="232">
        <v>-1</v>
      </c>
      <c r="AQ9" s="232"/>
      <c r="AR9" s="232"/>
      <c r="AS9" s="232"/>
      <c r="AT9" s="232"/>
      <c r="AU9" s="232"/>
      <c r="AV9" s="232"/>
      <c r="AW9" s="232"/>
      <c r="AX9" s="232"/>
      <c r="AY9" s="20">
        <f>SUM(AP9:AX9)</f>
        <v>-1</v>
      </c>
      <c r="AZ9" s="20">
        <f t="shared" si="0"/>
        <v>-115</v>
      </c>
      <c r="BA9" s="20">
        <f t="shared" si="1"/>
        <v>-85</v>
      </c>
      <c r="BB9" s="20">
        <f t="shared" si="2"/>
        <v>-80</v>
      </c>
      <c r="BC9" s="20">
        <f t="shared" si="3"/>
        <v>-75</v>
      </c>
      <c r="BD9" s="20">
        <f>AY9</f>
        <v>-1</v>
      </c>
      <c r="BE9" s="194"/>
      <c r="BF9" s="194"/>
      <c r="BG9" s="194"/>
      <c r="BH9" s="194"/>
      <c r="BI9" s="194"/>
      <c r="BJ9" s="194"/>
      <c r="BK9" s="194"/>
      <c r="BL9" s="194"/>
      <c r="BM9" s="194"/>
      <c r="BN9" s="194"/>
      <c r="BO9" s="194"/>
    </row>
    <row r="10" spans="1:78" s="49" customFormat="1" ht="16.5" customHeight="1" x14ac:dyDescent="0.2">
      <c r="A10" s="89" t="s">
        <v>123</v>
      </c>
      <c r="B10" s="49">
        <f>SUM(B8:B9)</f>
        <v>2033</v>
      </c>
      <c r="C10" s="49">
        <f t="shared" ref="C10:K10" si="4">SUM(C8:C9)</f>
        <v>0</v>
      </c>
      <c r="D10" s="49">
        <f t="shared" si="4"/>
        <v>0</v>
      </c>
      <c r="E10" s="49">
        <f t="shared" si="4"/>
        <v>0</v>
      </c>
      <c r="F10" s="49">
        <f t="shared" si="4"/>
        <v>0</v>
      </c>
      <c r="G10" s="49">
        <f t="shared" si="4"/>
        <v>0</v>
      </c>
      <c r="H10" s="49">
        <f t="shared" si="4"/>
        <v>0</v>
      </c>
      <c r="I10" s="49">
        <f t="shared" si="4"/>
        <v>0</v>
      </c>
      <c r="J10" s="49">
        <f t="shared" si="4"/>
        <v>0</v>
      </c>
      <c r="K10" s="49">
        <f t="shared" si="4"/>
        <v>2033</v>
      </c>
      <c r="L10" s="49">
        <f t="shared" ref="L10:AY10" si="5">SUM(L8:L9)</f>
        <v>2129</v>
      </c>
      <c r="M10" s="49">
        <f t="shared" si="5"/>
        <v>0</v>
      </c>
      <c r="N10" s="49">
        <f t="shared" si="5"/>
        <v>0</v>
      </c>
      <c r="O10" s="49">
        <f t="shared" si="5"/>
        <v>0</v>
      </c>
      <c r="P10" s="49">
        <f t="shared" si="5"/>
        <v>0</v>
      </c>
      <c r="Q10" s="49">
        <f t="shared" si="5"/>
        <v>0</v>
      </c>
      <c r="R10" s="49">
        <f t="shared" si="5"/>
        <v>0</v>
      </c>
      <c r="S10" s="49">
        <f t="shared" si="5"/>
        <v>0</v>
      </c>
      <c r="T10" s="49">
        <f t="shared" si="5"/>
        <v>0</v>
      </c>
      <c r="U10" s="49">
        <f t="shared" si="5"/>
        <v>2129</v>
      </c>
      <c r="V10" s="49">
        <f t="shared" si="5"/>
        <v>2177</v>
      </c>
      <c r="W10" s="49">
        <f t="shared" si="5"/>
        <v>0</v>
      </c>
      <c r="X10" s="49">
        <f t="shared" si="5"/>
        <v>0</v>
      </c>
      <c r="Y10" s="49">
        <f t="shared" si="5"/>
        <v>0</v>
      </c>
      <c r="Z10" s="49">
        <f t="shared" si="5"/>
        <v>0</v>
      </c>
      <c r="AA10" s="49">
        <f t="shared" si="5"/>
        <v>0</v>
      </c>
      <c r="AB10" s="49">
        <f t="shared" si="5"/>
        <v>0</v>
      </c>
      <c r="AC10" s="49">
        <f t="shared" si="5"/>
        <v>0</v>
      </c>
      <c r="AD10" s="49">
        <f t="shared" si="5"/>
        <v>0</v>
      </c>
      <c r="AE10" s="49">
        <f t="shared" si="5"/>
        <v>2177</v>
      </c>
      <c r="AF10" s="49">
        <f t="shared" si="5"/>
        <v>2306</v>
      </c>
      <c r="AG10" s="49">
        <f t="shared" si="5"/>
        <v>0</v>
      </c>
      <c r="AH10" s="49">
        <f t="shared" si="5"/>
        <v>0</v>
      </c>
      <c r="AI10" s="49">
        <f t="shared" si="5"/>
        <v>0</v>
      </c>
      <c r="AJ10" s="49">
        <f t="shared" si="5"/>
        <v>0</v>
      </c>
      <c r="AK10" s="49">
        <f t="shared" si="5"/>
        <v>0</v>
      </c>
      <c r="AL10" s="49">
        <f t="shared" si="5"/>
        <v>0</v>
      </c>
      <c r="AM10" s="49">
        <f t="shared" si="5"/>
        <v>0</v>
      </c>
      <c r="AN10" s="49">
        <f t="shared" si="5"/>
        <v>0</v>
      </c>
      <c r="AO10" s="49">
        <f t="shared" si="5"/>
        <v>2306</v>
      </c>
      <c r="AP10" s="49">
        <f t="shared" si="5"/>
        <v>196</v>
      </c>
      <c r="AQ10" s="49">
        <f t="shared" si="5"/>
        <v>0</v>
      </c>
      <c r="AR10" s="49">
        <f t="shared" si="5"/>
        <v>0</v>
      </c>
      <c r="AS10" s="49">
        <f t="shared" si="5"/>
        <v>0</v>
      </c>
      <c r="AT10" s="49">
        <f t="shared" si="5"/>
        <v>0</v>
      </c>
      <c r="AU10" s="49">
        <f t="shared" si="5"/>
        <v>0</v>
      </c>
      <c r="AV10" s="49">
        <f t="shared" si="5"/>
        <v>0</v>
      </c>
      <c r="AW10" s="49">
        <f t="shared" si="5"/>
        <v>0</v>
      </c>
      <c r="AX10" s="49">
        <f t="shared" si="5"/>
        <v>0</v>
      </c>
      <c r="AY10" s="49">
        <f t="shared" si="5"/>
        <v>196</v>
      </c>
      <c r="AZ10" s="49">
        <f t="shared" si="0"/>
        <v>2033</v>
      </c>
      <c r="BA10" s="49">
        <f t="shared" si="1"/>
        <v>2129</v>
      </c>
      <c r="BB10" s="49">
        <f t="shared" si="2"/>
        <v>2177</v>
      </c>
      <c r="BC10" s="49">
        <f t="shared" si="3"/>
        <v>2306</v>
      </c>
      <c r="BD10" s="49">
        <f t="shared" ref="BD10:BD23" si="6">AY10</f>
        <v>196</v>
      </c>
      <c r="BE10" s="196"/>
      <c r="BF10" s="196"/>
      <c r="BG10" s="196"/>
      <c r="BH10" s="196"/>
      <c r="BI10" s="196"/>
      <c r="BJ10" s="196"/>
      <c r="BK10" s="196"/>
      <c r="BL10" s="196"/>
      <c r="BM10" s="196"/>
      <c r="BN10" s="196"/>
      <c r="BO10" s="196"/>
    </row>
    <row r="11" spans="1:78" ht="16.5" customHeight="1" x14ac:dyDescent="0.2">
      <c r="A11" s="1280" t="s">
        <v>1103</v>
      </c>
      <c r="B11" s="231">
        <v>1148</v>
      </c>
      <c r="C11" s="231"/>
      <c r="D11" s="231"/>
      <c r="E11" s="231"/>
      <c r="F11" s="231"/>
      <c r="G11" s="231"/>
      <c r="H11" s="231"/>
      <c r="I11" s="231"/>
      <c r="J11" s="231"/>
      <c r="K11" s="10">
        <f>SUM(B11:J11)</f>
        <v>1148</v>
      </c>
      <c r="L11" s="231">
        <v>1360</v>
      </c>
      <c r="M11" s="231"/>
      <c r="N11" s="231"/>
      <c r="O11" s="231"/>
      <c r="P11" s="231"/>
      <c r="Q11" s="231"/>
      <c r="R11" s="231"/>
      <c r="S11" s="231"/>
      <c r="T11" s="231"/>
      <c r="U11" s="10">
        <f>SUM(L11:T11)</f>
        <v>1360</v>
      </c>
      <c r="V11" s="231">
        <v>1531</v>
      </c>
      <c r="W11" s="231"/>
      <c r="X11" s="231"/>
      <c r="Y11" s="231"/>
      <c r="Z11" s="231"/>
      <c r="AA11" s="231"/>
      <c r="AB11" s="231"/>
      <c r="AC11" s="231"/>
      <c r="AD11" s="231"/>
      <c r="AE11" s="10">
        <f>SUM(V11:AD11)</f>
        <v>1531</v>
      </c>
      <c r="AF11" s="231">
        <v>1733</v>
      </c>
      <c r="AG11" s="231"/>
      <c r="AH11" s="231"/>
      <c r="AI11" s="231"/>
      <c r="AJ11" s="231"/>
      <c r="AK11" s="231"/>
      <c r="AL11" s="231"/>
      <c r="AM11" s="231"/>
      <c r="AN11" s="231"/>
      <c r="AO11" s="10">
        <f>SUM(AF11:AN11)</f>
        <v>1733</v>
      </c>
      <c r="AP11" s="231">
        <v>1945</v>
      </c>
      <c r="AQ11" s="231"/>
      <c r="AR11" s="231"/>
      <c r="AS11" s="231"/>
      <c r="AT11" s="231"/>
      <c r="AU11" s="231"/>
      <c r="AV11" s="231"/>
      <c r="AW11" s="231"/>
      <c r="AX11" s="231"/>
      <c r="AY11" s="10">
        <f>SUM(AP11:AX11)</f>
        <v>1945</v>
      </c>
      <c r="AZ11" s="10">
        <f t="shared" si="0"/>
        <v>1148</v>
      </c>
      <c r="BA11" s="10">
        <f t="shared" si="1"/>
        <v>1360</v>
      </c>
      <c r="BB11" s="10">
        <f t="shared" si="2"/>
        <v>1531</v>
      </c>
      <c r="BC11" s="10">
        <f t="shared" si="3"/>
        <v>1733</v>
      </c>
      <c r="BD11" s="10">
        <f t="shared" si="6"/>
        <v>1945</v>
      </c>
    </row>
    <row r="12" spans="1:78" ht="16.5" customHeight="1" x14ac:dyDescent="0.2">
      <c r="A12" s="31" t="s">
        <v>576</v>
      </c>
      <c r="B12" s="231">
        <v>220</v>
      </c>
      <c r="C12" s="231"/>
      <c r="D12" s="231"/>
      <c r="E12" s="231"/>
      <c r="F12" s="231"/>
      <c r="G12" s="231"/>
      <c r="H12" s="231"/>
      <c r="I12" s="231"/>
      <c r="J12" s="231"/>
      <c r="K12" s="10">
        <f>SUM(B12:J12)</f>
        <v>220</v>
      </c>
      <c r="L12" s="231">
        <v>227</v>
      </c>
      <c r="M12" s="231"/>
      <c r="N12" s="231"/>
      <c r="O12" s="231"/>
      <c r="P12" s="231"/>
      <c r="Q12" s="231"/>
      <c r="R12" s="231"/>
      <c r="S12" s="231"/>
      <c r="T12" s="231"/>
      <c r="U12" s="10">
        <f>SUM(L12:T12)</f>
        <v>227</v>
      </c>
      <c r="V12" s="231">
        <v>239</v>
      </c>
      <c r="W12" s="231"/>
      <c r="X12" s="231"/>
      <c r="Y12" s="231"/>
      <c r="Z12" s="231"/>
      <c r="AA12" s="231"/>
      <c r="AB12" s="231"/>
      <c r="AC12" s="231"/>
      <c r="AD12" s="231"/>
      <c r="AE12" s="10">
        <f>SUM(V12:AD12)</f>
        <v>239</v>
      </c>
      <c r="AF12" s="231">
        <v>256</v>
      </c>
      <c r="AG12" s="231"/>
      <c r="AH12" s="231"/>
      <c r="AI12" s="231"/>
      <c r="AJ12" s="231"/>
      <c r="AK12" s="231"/>
      <c r="AL12" s="231"/>
      <c r="AM12" s="231"/>
      <c r="AN12" s="231"/>
      <c r="AO12" s="10">
        <f>SUM(AF12:AN12)</f>
        <v>256</v>
      </c>
      <c r="AP12" s="231">
        <v>0</v>
      </c>
      <c r="AQ12" s="231"/>
      <c r="AR12" s="231"/>
      <c r="AS12" s="231"/>
      <c r="AT12" s="231"/>
      <c r="AU12" s="231"/>
      <c r="AV12" s="231"/>
      <c r="AW12" s="231"/>
      <c r="AX12" s="231"/>
      <c r="AY12" s="10">
        <f>SUM(AP12:AX12)</f>
        <v>0</v>
      </c>
      <c r="AZ12" s="10">
        <f t="shared" si="0"/>
        <v>220</v>
      </c>
      <c r="BA12" s="10">
        <f t="shared" si="1"/>
        <v>227</v>
      </c>
      <c r="BB12" s="10">
        <f t="shared" si="2"/>
        <v>239</v>
      </c>
      <c r="BC12" s="10">
        <f t="shared" si="3"/>
        <v>256</v>
      </c>
      <c r="BD12" s="10">
        <f t="shared" si="6"/>
        <v>0</v>
      </c>
    </row>
    <row r="13" spans="1:78" s="20" customFormat="1" ht="16.5" customHeight="1" x14ac:dyDescent="0.2">
      <c r="A13" s="34" t="s">
        <v>75</v>
      </c>
      <c r="B13" s="232">
        <v>282</v>
      </c>
      <c r="C13" s="232"/>
      <c r="D13" s="232">
        <v>1273</v>
      </c>
      <c r="E13" s="232"/>
      <c r="F13" s="232"/>
      <c r="G13" s="232"/>
      <c r="H13" s="232"/>
      <c r="I13" s="232"/>
      <c r="J13" s="232"/>
      <c r="K13" s="20">
        <f>SUM(B13:J13)</f>
        <v>1555</v>
      </c>
      <c r="L13" s="232">
        <v>80</v>
      </c>
      <c r="M13" s="232"/>
      <c r="N13" s="232">
        <v>1429</v>
      </c>
      <c r="O13" s="232"/>
      <c r="P13" s="232"/>
      <c r="Q13" s="232"/>
      <c r="R13" s="232"/>
      <c r="S13" s="232"/>
      <c r="T13" s="232"/>
      <c r="U13" s="20">
        <f>SUM(L13:T13)</f>
        <v>1509</v>
      </c>
      <c r="V13" s="232">
        <v>87</v>
      </c>
      <c r="W13" s="232"/>
      <c r="X13" s="232">
        <v>1450</v>
      </c>
      <c r="Y13" s="232"/>
      <c r="Z13" s="232"/>
      <c r="AA13" s="232"/>
      <c r="AB13" s="232"/>
      <c r="AC13" s="232"/>
      <c r="AD13" s="232"/>
      <c r="AE13" s="20">
        <f>SUM(V13:AD13)</f>
        <v>1537</v>
      </c>
      <c r="AF13" s="232">
        <v>102</v>
      </c>
      <c r="AG13" s="232"/>
      <c r="AH13" s="232">
        <v>1809</v>
      </c>
      <c r="AI13" s="232"/>
      <c r="AJ13" s="232"/>
      <c r="AK13" s="232"/>
      <c r="AL13" s="232"/>
      <c r="AM13" s="232"/>
      <c r="AN13" s="232"/>
      <c r="AO13" s="20">
        <f>SUM(AF13:AN13)</f>
        <v>1911</v>
      </c>
      <c r="AP13" s="232">
        <v>278</v>
      </c>
      <c r="AQ13" s="232"/>
      <c r="AR13" s="232">
        <v>1691</v>
      </c>
      <c r="AS13" s="232"/>
      <c r="AT13" s="232"/>
      <c r="AU13" s="232"/>
      <c r="AV13" s="232"/>
      <c r="AW13" s="232"/>
      <c r="AX13" s="232"/>
      <c r="AY13" s="20">
        <f>SUM(AP13:AX13)</f>
        <v>1969</v>
      </c>
      <c r="AZ13" s="20">
        <f t="shared" si="0"/>
        <v>1555</v>
      </c>
      <c r="BA13" s="20">
        <f t="shared" si="1"/>
        <v>1509</v>
      </c>
      <c r="BB13" s="20">
        <f t="shared" si="2"/>
        <v>1537</v>
      </c>
      <c r="BC13" s="20">
        <f t="shared" si="3"/>
        <v>1911</v>
      </c>
      <c r="BD13" s="20">
        <f t="shared" si="6"/>
        <v>1969</v>
      </c>
      <c r="BE13" s="194"/>
      <c r="BF13" s="194"/>
      <c r="BG13" s="194"/>
      <c r="BH13" s="194"/>
      <c r="BI13" s="194"/>
      <c r="BJ13" s="194"/>
      <c r="BK13" s="194"/>
      <c r="BL13" s="194"/>
      <c r="BM13" s="194"/>
      <c r="BN13" s="194"/>
      <c r="BO13" s="194"/>
    </row>
    <row r="14" spans="1:78" s="49" customFormat="1" ht="16.5" customHeight="1" x14ac:dyDescent="0.2">
      <c r="A14" s="49" t="s">
        <v>68</v>
      </c>
      <c r="B14" s="49">
        <f>SUM(B6:B7,B10:B13)</f>
        <v>5560</v>
      </c>
      <c r="C14" s="49">
        <f t="shared" ref="C14:K14" si="7">SUM(C6:C7,C10:C13)</f>
        <v>0</v>
      </c>
      <c r="D14" s="49">
        <f t="shared" si="7"/>
        <v>1273</v>
      </c>
      <c r="E14" s="49">
        <f t="shared" si="7"/>
        <v>0</v>
      </c>
      <c r="F14" s="49">
        <f t="shared" si="7"/>
        <v>0</v>
      </c>
      <c r="G14" s="49">
        <f t="shared" si="7"/>
        <v>0</v>
      </c>
      <c r="H14" s="49">
        <f t="shared" si="7"/>
        <v>0</v>
      </c>
      <c r="I14" s="49">
        <f t="shared" si="7"/>
        <v>0</v>
      </c>
      <c r="J14" s="49">
        <f t="shared" si="7"/>
        <v>0</v>
      </c>
      <c r="K14" s="49">
        <f t="shared" si="7"/>
        <v>6833</v>
      </c>
      <c r="L14" s="49">
        <f t="shared" ref="L14:AY14" si="8">SUM(L6:L7,L10:L13)</f>
        <v>5081</v>
      </c>
      <c r="M14" s="49">
        <f t="shared" si="8"/>
        <v>0</v>
      </c>
      <c r="N14" s="49">
        <f t="shared" si="8"/>
        <v>1429</v>
      </c>
      <c r="O14" s="49">
        <f t="shared" si="8"/>
        <v>0</v>
      </c>
      <c r="P14" s="49">
        <f t="shared" si="8"/>
        <v>0</v>
      </c>
      <c r="Q14" s="49">
        <f t="shared" si="8"/>
        <v>0</v>
      </c>
      <c r="R14" s="49">
        <f t="shared" si="8"/>
        <v>0</v>
      </c>
      <c r="S14" s="49">
        <f t="shared" si="8"/>
        <v>0</v>
      </c>
      <c r="T14" s="49">
        <f t="shared" si="8"/>
        <v>0</v>
      </c>
      <c r="U14" s="49">
        <f t="shared" si="8"/>
        <v>6510</v>
      </c>
      <c r="V14" s="49">
        <f t="shared" si="8"/>
        <v>5228</v>
      </c>
      <c r="W14" s="49">
        <f t="shared" si="8"/>
        <v>0</v>
      </c>
      <c r="X14" s="49">
        <f t="shared" si="8"/>
        <v>1450</v>
      </c>
      <c r="Y14" s="49">
        <f t="shared" si="8"/>
        <v>0</v>
      </c>
      <c r="Z14" s="49">
        <f t="shared" si="8"/>
        <v>0</v>
      </c>
      <c r="AA14" s="49">
        <f t="shared" si="8"/>
        <v>0</v>
      </c>
      <c r="AB14" s="49">
        <f t="shared" si="8"/>
        <v>0</v>
      </c>
      <c r="AC14" s="49">
        <f t="shared" si="8"/>
        <v>0</v>
      </c>
      <c r="AD14" s="49">
        <f t="shared" si="8"/>
        <v>0</v>
      </c>
      <c r="AE14" s="49">
        <f t="shared" si="8"/>
        <v>6678</v>
      </c>
      <c r="AF14" s="49">
        <f t="shared" si="8"/>
        <v>5224</v>
      </c>
      <c r="AG14" s="49">
        <f t="shared" si="8"/>
        <v>0</v>
      </c>
      <c r="AH14" s="49">
        <f t="shared" si="8"/>
        <v>1809</v>
      </c>
      <c r="AI14" s="49">
        <f t="shared" si="8"/>
        <v>0</v>
      </c>
      <c r="AJ14" s="49">
        <f t="shared" si="8"/>
        <v>0</v>
      </c>
      <c r="AK14" s="49">
        <f t="shared" si="8"/>
        <v>0</v>
      </c>
      <c r="AL14" s="49">
        <f t="shared" si="8"/>
        <v>0</v>
      </c>
      <c r="AM14" s="49">
        <f t="shared" si="8"/>
        <v>0</v>
      </c>
      <c r="AN14" s="49">
        <f t="shared" si="8"/>
        <v>0</v>
      </c>
      <c r="AO14" s="49">
        <f t="shared" si="8"/>
        <v>7033</v>
      </c>
      <c r="AP14" s="49">
        <f t="shared" si="8"/>
        <v>3014</v>
      </c>
      <c r="AQ14" s="49">
        <f t="shared" si="8"/>
        <v>0</v>
      </c>
      <c r="AR14" s="49">
        <f t="shared" si="8"/>
        <v>1691</v>
      </c>
      <c r="AS14" s="49">
        <f t="shared" si="8"/>
        <v>0</v>
      </c>
      <c r="AT14" s="49">
        <f t="shared" si="8"/>
        <v>0</v>
      </c>
      <c r="AU14" s="49">
        <f t="shared" si="8"/>
        <v>0</v>
      </c>
      <c r="AV14" s="49">
        <f t="shared" si="8"/>
        <v>0</v>
      </c>
      <c r="AW14" s="49">
        <f t="shared" si="8"/>
        <v>0</v>
      </c>
      <c r="AX14" s="49">
        <f t="shared" si="8"/>
        <v>0</v>
      </c>
      <c r="AY14" s="49">
        <f t="shared" si="8"/>
        <v>4705</v>
      </c>
      <c r="AZ14" s="49">
        <f t="shared" si="0"/>
        <v>6833</v>
      </c>
      <c r="BA14" s="49">
        <f t="shared" si="1"/>
        <v>6510</v>
      </c>
      <c r="BB14" s="49">
        <f t="shared" si="2"/>
        <v>6678</v>
      </c>
      <c r="BC14" s="49">
        <f t="shared" si="3"/>
        <v>7033</v>
      </c>
      <c r="BD14" s="49">
        <f t="shared" si="6"/>
        <v>4705</v>
      </c>
      <c r="BE14" s="196"/>
      <c r="BF14" s="196"/>
      <c r="BG14" s="196"/>
      <c r="BH14" s="196"/>
      <c r="BI14" s="196"/>
      <c r="BJ14" s="196"/>
      <c r="BK14" s="196"/>
      <c r="BL14" s="196"/>
      <c r="BM14" s="196"/>
      <c r="BN14" s="196"/>
      <c r="BO14" s="196"/>
    </row>
    <row r="15" spans="1:78" s="82" customFormat="1" ht="6" customHeight="1" x14ac:dyDescent="0.2">
      <c r="AZ15" s="88"/>
      <c r="BA15" s="88"/>
      <c r="BB15" s="88"/>
      <c r="BC15" s="88"/>
      <c r="BD15" s="88"/>
    </row>
    <row r="16" spans="1:78" s="15" customFormat="1" ht="16.5" customHeight="1" x14ac:dyDescent="0.2">
      <c r="A16" s="15" t="s">
        <v>126</v>
      </c>
      <c r="B16" s="233">
        <v>6260</v>
      </c>
      <c r="C16" s="66">
        <f>'Oper Lease Adjust 2'!G82</f>
        <v>851</v>
      </c>
      <c r="D16" s="233"/>
      <c r="E16" s="233"/>
      <c r="F16" s="233"/>
      <c r="G16" s="233"/>
      <c r="H16" s="233"/>
      <c r="I16" s="233"/>
      <c r="J16" s="233"/>
      <c r="K16" s="15">
        <f>SUM(B16:J16)</f>
        <v>7111</v>
      </c>
      <c r="L16" s="233">
        <v>6643</v>
      </c>
      <c r="M16" s="66">
        <f>'Oper Lease Adjust 3'!G82</f>
        <v>1270</v>
      </c>
      <c r="N16" s="233"/>
      <c r="O16" s="233"/>
      <c r="P16" s="233"/>
      <c r="Q16" s="233"/>
      <c r="R16" s="233"/>
      <c r="S16" s="233"/>
      <c r="T16" s="233"/>
      <c r="U16" s="15">
        <f>SUM(L16:T16)</f>
        <v>7913</v>
      </c>
      <c r="V16" s="233">
        <v>7344</v>
      </c>
      <c r="W16" s="66">
        <f>'Oper Lease Adjust 4'!G82</f>
        <v>1565</v>
      </c>
      <c r="X16" s="233"/>
      <c r="Y16" s="233"/>
      <c r="Z16" s="233"/>
      <c r="AA16" s="233"/>
      <c r="AB16" s="233"/>
      <c r="AC16" s="233"/>
      <c r="AD16" s="233"/>
      <c r="AE16" s="15">
        <f>SUM(V16:AD16)</f>
        <v>8909</v>
      </c>
      <c r="AF16" s="233">
        <v>8038</v>
      </c>
      <c r="AG16" s="66">
        <f>'Oper Lease Adjust 5'!G82</f>
        <v>1826</v>
      </c>
      <c r="AH16" s="233"/>
      <c r="AI16" s="233"/>
      <c r="AJ16" s="233"/>
      <c r="AK16" s="233"/>
      <c r="AL16" s="233"/>
      <c r="AM16" s="233"/>
      <c r="AN16" s="233"/>
      <c r="AO16" s="15">
        <f>SUM(AF16:AN16)</f>
        <v>9864</v>
      </c>
      <c r="AP16" s="233">
        <v>8843</v>
      </c>
      <c r="AQ16" s="66">
        <f>'Oper Lease Adjust 6'!G82</f>
        <v>2210</v>
      </c>
      <c r="AR16" s="233"/>
      <c r="AS16" s="233"/>
      <c r="AT16" s="233"/>
      <c r="AU16" s="233"/>
      <c r="AV16" s="233"/>
      <c r="AW16" s="233"/>
      <c r="AX16" s="233"/>
      <c r="AY16" s="15">
        <f>SUM(AP16:AX16)</f>
        <v>11053</v>
      </c>
      <c r="AZ16" s="15">
        <f t="shared" si="0"/>
        <v>7111</v>
      </c>
      <c r="BA16" s="15">
        <f t="shared" si="1"/>
        <v>7913</v>
      </c>
      <c r="BB16" s="15">
        <f t="shared" si="2"/>
        <v>8909</v>
      </c>
      <c r="BC16" s="15">
        <f t="shared" si="3"/>
        <v>9864</v>
      </c>
      <c r="BD16" s="15">
        <f t="shared" si="6"/>
        <v>11053</v>
      </c>
      <c r="BE16" s="195"/>
      <c r="BF16" s="195"/>
      <c r="BG16" s="195"/>
      <c r="BH16" s="195"/>
      <c r="BI16" s="195"/>
      <c r="BJ16" s="195"/>
      <c r="BK16" s="195"/>
      <c r="BL16" s="195"/>
      <c r="BM16" s="195"/>
      <c r="BN16" s="195"/>
      <c r="BO16" s="195"/>
    </row>
    <row r="17" spans="1:67" s="20" customFormat="1" ht="16.5" customHeight="1" x14ac:dyDescent="0.2">
      <c r="A17" s="34" t="s">
        <v>728</v>
      </c>
      <c r="B17" s="232">
        <v>-3791</v>
      </c>
      <c r="C17" s="232"/>
      <c r="D17" s="232"/>
      <c r="E17" s="232"/>
      <c r="F17" s="232"/>
      <c r="G17" s="232"/>
      <c r="H17" s="232"/>
      <c r="I17" s="232"/>
      <c r="J17" s="232"/>
      <c r="K17" s="20">
        <f>SUM(B17:J17)</f>
        <v>-3791</v>
      </c>
      <c r="L17" s="232">
        <v>-4064</v>
      </c>
      <c r="M17" s="232"/>
      <c r="N17" s="232"/>
      <c r="O17" s="232"/>
      <c r="P17" s="232"/>
      <c r="Q17" s="232"/>
      <c r="R17" s="232"/>
      <c r="S17" s="232"/>
      <c r="T17" s="232"/>
      <c r="U17" s="20">
        <f>SUM(L17:T17)</f>
        <v>-4064</v>
      </c>
      <c r="V17" s="232">
        <v>-4395</v>
      </c>
      <c r="W17" s="232"/>
      <c r="X17" s="232"/>
      <c r="Y17" s="232"/>
      <c r="Z17" s="232"/>
      <c r="AA17" s="232"/>
      <c r="AB17" s="232"/>
      <c r="AC17" s="232"/>
      <c r="AD17" s="232"/>
      <c r="AE17" s="20">
        <f>SUM(V17:AD17)</f>
        <v>-4395</v>
      </c>
      <c r="AF17" s="232">
        <v>-4698</v>
      </c>
      <c r="AG17" s="232"/>
      <c r="AH17" s="232"/>
      <c r="AI17" s="232"/>
      <c r="AJ17" s="232"/>
      <c r="AK17" s="232"/>
      <c r="AL17" s="232"/>
      <c r="AM17" s="232"/>
      <c r="AN17" s="232"/>
      <c r="AO17" s="20">
        <f>SUM(AF17:AN17)</f>
        <v>-4698</v>
      </c>
      <c r="AP17" s="232">
        <v>-5108</v>
      </c>
      <c r="AQ17" s="232"/>
      <c r="AR17" s="232"/>
      <c r="AS17" s="232"/>
      <c r="AT17" s="232"/>
      <c r="AU17" s="232"/>
      <c r="AV17" s="232"/>
      <c r="AW17" s="232"/>
      <c r="AX17" s="232"/>
      <c r="AY17" s="20">
        <f>SUM(AP17:AX17)</f>
        <v>-5108</v>
      </c>
      <c r="AZ17" s="20">
        <f t="shared" si="0"/>
        <v>-3791</v>
      </c>
      <c r="BA17" s="20">
        <f t="shared" si="1"/>
        <v>-4064</v>
      </c>
      <c r="BB17" s="20">
        <f t="shared" si="2"/>
        <v>-4395</v>
      </c>
      <c r="BC17" s="20">
        <f t="shared" si="3"/>
        <v>-4698</v>
      </c>
      <c r="BD17" s="20">
        <f t="shared" si="6"/>
        <v>-5108</v>
      </c>
      <c r="BE17" s="194"/>
      <c r="BF17" s="194"/>
      <c r="BG17" s="194"/>
      <c r="BH17" s="194"/>
      <c r="BI17" s="194"/>
      <c r="BJ17" s="194"/>
      <c r="BK17" s="194"/>
      <c r="BL17" s="194"/>
      <c r="BM17" s="194"/>
      <c r="BN17" s="194"/>
      <c r="BO17" s="194"/>
    </row>
    <row r="18" spans="1:67" s="49" customFormat="1" ht="16.5" customHeight="1" x14ac:dyDescent="0.2">
      <c r="A18" s="49" t="s">
        <v>125</v>
      </c>
      <c r="B18" s="49">
        <f>SUM(B16:B17)</f>
        <v>2469</v>
      </c>
      <c r="C18" s="49">
        <f t="shared" ref="C18:K18" si="9">SUM(C16:C17)</f>
        <v>851</v>
      </c>
      <c r="D18" s="49">
        <f t="shared" si="9"/>
        <v>0</v>
      </c>
      <c r="E18" s="49">
        <f t="shared" si="9"/>
        <v>0</v>
      </c>
      <c r="F18" s="49">
        <f t="shared" si="9"/>
        <v>0</v>
      </c>
      <c r="G18" s="49">
        <f t="shared" si="9"/>
        <v>0</v>
      </c>
      <c r="H18" s="49">
        <f t="shared" si="9"/>
        <v>0</v>
      </c>
      <c r="I18" s="49">
        <f t="shared" si="9"/>
        <v>0</v>
      </c>
      <c r="J18" s="49">
        <f t="shared" si="9"/>
        <v>0</v>
      </c>
      <c r="K18" s="49">
        <f t="shared" si="9"/>
        <v>3320</v>
      </c>
      <c r="L18" s="49">
        <f t="shared" ref="L18:AY18" si="10">SUM(L16:L17)</f>
        <v>2579</v>
      </c>
      <c r="M18" s="49">
        <f t="shared" si="10"/>
        <v>1270</v>
      </c>
      <c r="N18" s="49">
        <f t="shared" si="10"/>
        <v>0</v>
      </c>
      <c r="O18" s="49">
        <f t="shared" si="10"/>
        <v>0</v>
      </c>
      <c r="P18" s="49">
        <f t="shared" si="10"/>
        <v>0</v>
      </c>
      <c r="Q18" s="49">
        <f t="shared" si="10"/>
        <v>0</v>
      </c>
      <c r="R18" s="49">
        <f t="shared" si="10"/>
        <v>0</v>
      </c>
      <c r="S18" s="49">
        <f t="shared" si="10"/>
        <v>0</v>
      </c>
      <c r="T18" s="49">
        <f t="shared" si="10"/>
        <v>0</v>
      </c>
      <c r="U18" s="49">
        <f t="shared" si="10"/>
        <v>3849</v>
      </c>
      <c r="V18" s="49">
        <f t="shared" si="10"/>
        <v>2949</v>
      </c>
      <c r="W18" s="49">
        <f t="shared" si="10"/>
        <v>1565</v>
      </c>
      <c r="X18" s="49">
        <f t="shared" si="10"/>
        <v>0</v>
      </c>
      <c r="Y18" s="49">
        <f t="shared" si="10"/>
        <v>0</v>
      </c>
      <c r="Z18" s="49">
        <f t="shared" si="10"/>
        <v>0</v>
      </c>
      <c r="AA18" s="49">
        <f t="shared" si="10"/>
        <v>0</v>
      </c>
      <c r="AB18" s="49">
        <f t="shared" si="10"/>
        <v>0</v>
      </c>
      <c r="AC18" s="49">
        <f t="shared" si="10"/>
        <v>0</v>
      </c>
      <c r="AD18" s="49">
        <f t="shared" si="10"/>
        <v>0</v>
      </c>
      <c r="AE18" s="49">
        <f t="shared" si="10"/>
        <v>4514</v>
      </c>
      <c r="AF18" s="49">
        <f t="shared" si="10"/>
        <v>3340</v>
      </c>
      <c r="AG18" s="49">
        <f t="shared" si="10"/>
        <v>1826</v>
      </c>
      <c r="AH18" s="49">
        <f t="shared" si="10"/>
        <v>0</v>
      </c>
      <c r="AI18" s="49">
        <f t="shared" si="10"/>
        <v>0</v>
      </c>
      <c r="AJ18" s="49">
        <f t="shared" si="10"/>
        <v>0</v>
      </c>
      <c r="AK18" s="49">
        <f t="shared" si="10"/>
        <v>0</v>
      </c>
      <c r="AL18" s="49">
        <f t="shared" si="10"/>
        <v>0</v>
      </c>
      <c r="AM18" s="49">
        <f t="shared" si="10"/>
        <v>0</v>
      </c>
      <c r="AN18" s="49">
        <f t="shared" si="10"/>
        <v>0</v>
      </c>
      <c r="AO18" s="49">
        <f t="shared" si="10"/>
        <v>5166</v>
      </c>
      <c r="AP18" s="49">
        <f t="shared" si="10"/>
        <v>3735</v>
      </c>
      <c r="AQ18" s="49">
        <f t="shared" si="10"/>
        <v>2210</v>
      </c>
      <c r="AR18" s="49">
        <f t="shared" si="10"/>
        <v>0</v>
      </c>
      <c r="AS18" s="49">
        <f t="shared" si="10"/>
        <v>0</v>
      </c>
      <c r="AT18" s="49">
        <f t="shared" si="10"/>
        <v>0</v>
      </c>
      <c r="AU18" s="49">
        <f t="shared" si="10"/>
        <v>0</v>
      </c>
      <c r="AV18" s="49">
        <f t="shared" si="10"/>
        <v>0</v>
      </c>
      <c r="AW18" s="49">
        <f t="shared" si="10"/>
        <v>0</v>
      </c>
      <c r="AX18" s="49">
        <f t="shared" si="10"/>
        <v>0</v>
      </c>
      <c r="AY18" s="49">
        <f t="shared" si="10"/>
        <v>5945</v>
      </c>
      <c r="AZ18" s="49">
        <f t="shared" si="0"/>
        <v>3320</v>
      </c>
      <c r="BA18" s="49">
        <f t="shared" si="1"/>
        <v>3849</v>
      </c>
      <c r="BB18" s="49">
        <f t="shared" si="2"/>
        <v>4514</v>
      </c>
      <c r="BC18" s="49">
        <f t="shared" si="3"/>
        <v>5166</v>
      </c>
      <c r="BD18" s="49">
        <f t="shared" si="6"/>
        <v>5945</v>
      </c>
      <c r="BE18" s="196"/>
      <c r="BF18" s="196"/>
      <c r="BG18" s="196"/>
      <c r="BH18" s="196"/>
      <c r="BI18" s="196"/>
      <c r="BJ18" s="196"/>
      <c r="BK18" s="196"/>
      <c r="BL18" s="196"/>
      <c r="BM18" s="196"/>
      <c r="BN18" s="196"/>
      <c r="BO18" s="196"/>
    </row>
    <row r="19" spans="1:67" ht="16.5" customHeight="1" x14ac:dyDescent="0.2">
      <c r="A19" s="31" t="s">
        <v>286</v>
      </c>
      <c r="B19" s="231">
        <v>175</v>
      </c>
      <c r="C19" s="231"/>
      <c r="D19" s="231"/>
      <c r="E19" s="231"/>
      <c r="F19" s="231"/>
      <c r="G19" s="231"/>
      <c r="H19" s="231"/>
      <c r="I19" s="231"/>
      <c r="J19" s="231"/>
      <c r="K19" s="10">
        <f>SUM(B19:J19)</f>
        <v>175</v>
      </c>
      <c r="L19" s="231">
        <v>175</v>
      </c>
      <c r="M19" s="231"/>
      <c r="N19" s="231"/>
      <c r="O19" s="231"/>
      <c r="P19" s="231"/>
      <c r="Q19" s="231"/>
      <c r="R19" s="231"/>
      <c r="S19" s="231"/>
      <c r="T19" s="231"/>
      <c r="U19" s="10">
        <f>SUM(L19:T19)</f>
        <v>175</v>
      </c>
      <c r="V19" s="231">
        <v>175</v>
      </c>
      <c r="W19" s="231"/>
      <c r="X19" s="231"/>
      <c r="Y19" s="231"/>
      <c r="Z19" s="231"/>
      <c r="AA19" s="231"/>
      <c r="AB19" s="231"/>
      <c r="AC19" s="231"/>
      <c r="AD19" s="231"/>
      <c r="AE19" s="10">
        <f>SUM(V19:AD19)</f>
        <v>175</v>
      </c>
      <c r="AF19" s="231">
        <v>435</v>
      </c>
      <c r="AG19" s="231"/>
      <c r="AH19" s="231"/>
      <c r="AI19" s="231"/>
      <c r="AJ19" s="231"/>
      <c r="AK19" s="231"/>
      <c r="AL19" s="231"/>
      <c r="AM19" s="231"/>
      <c r="AN19" s="231"/>
      <c r="AO19" s="10">
        <f>SUM(AF19:AN19)</f>
        <v>435</v>
      </c>
      <c r="AP19" s="231">
        <v>435</v>
      </c>
      <c r="AQ19" s="231"/>
      <c r="AR19" s="231"/>
      <c r="AS19" s="231"/>
      <c r="AT19" s="231"/>
      <c r="AU19" s="231"/>
      <c r="AV19" s="231"/>
      <c r="AW19" s="231"/>
      <c r="AX19" s="231"/>
      <c r="AY19" s="10">
        <f>SUM(AP19:AX19)</f>
        <v>435</v>
      </c>
      <c r="AZ19" s="10">
        <f t="shared" si="0"/>
        <v>175</v>
      </c>
      <c r="BA19" s="10">
        <f t="shared" si="1"/>
        <v>175</v>
      </c>
      <c r="BB19" s="10">
        <f t="shared" si="2"/>
        <v>175</v>
      </c>
      <c r="BC19" s="10">
        <f t="shared" si="3"/>
        <v>435</v>
      </c>
      <c r="BD19" s="10">
        <f t="shared" si="6"/>
        <v>435</v>
      </c>
    </row>
    <row r="20" spans="1:67" ht="16.5" customHeight="1" x14ac:dyDescent="0.2">
      <c r="A20" s="31" t="s">
        <v>287</v>
      </c>
      <c r="B20" s="231">
        <v>0</v>
      </c>
      <c r="C20" s="231"/>
      <c r="D20" s="231"/>
      <c r="E20" s="231"/>
      <c r="F20" s="231"/>
      <c r="G20" s="231"/>
      <c r="H20" s="231"/>
      <c r="I20" s="231"/>
      <c r="J20" s="231"/>
      <c r="K20" s="10">
        <f>SUM(B20:J20)</f>
        <v>0</v>
      </c>
      <c r="L20" s="231">
        <v>0</v>
      </c>
      <c r="M20" s="231"/>
      <c r="N20" s="231"/>
      <c r="O20" s="231"/>
      <c r="P20" s="231"/>
      <c r="Q20" s="231"/>
      <c r="R20" s="231"/>
      <c r="S20" s="231"/>
      <c r="T20" s="231"/>
      <c r="U20" s="10">
        <f>SUM(L20:T20)</f>
        <v>0</v>
      </c>
      <c r="V20" s="231">
        <v>0</v>
      </c>
      <c r="W20" s="231"/>
      <c r="X20" s="231"/>
      <c r="Y20" s="231"/>
      <c r="Z20" s="231"/>
      <c r="AA20" s="231"/>
      <c r="AB20" s="231"/>
      <c r="AC20" s="231"/>
      <c r="AD20" s="231"/>
      <c r="AE20" s="10">
        <f>SUM(V20:AD20)</f>
        <v>0</v>
      </c>
      <c r="AF20" s="231"/>
      <c r="AG20" s="231"/>
      <c r="AH20" s="231"/>
      <c r="AI20" s="231"/>
      <c r="AJ20" s="231"/>
      <c r="AK20" s="231"/>
      <c r="AL20" s="231"/>
      <c r="AM20" s="231"/>
      <c r="AN20" s="231"/>
      <c r="AO20" s="10">
        <f>SUM(AF20:AN20)</f>
        <v>0</v>
      </c>
      <c r="AP20" s="231">
        <v>0</v>
      </c>
      <c r="AQ20" s="231"/>
      <c r="AR20" s="231"/>
      <c r="AS20" s="231"/>
      <c r="AT20" s="231"/>
      <c r="AU20" s="231"/>
      <c r="AV20" s="231"/>
      <c r="AW20" s="231"/>
      <c r="AX20" s="231"/>
      <c r="AY20" s="10">
        <f>SUM(AP20:AX20)</f>
        <v>0</v>
      </c>
      <c r="AZ20" s="10">
        <f t="shared" si="0"/>
        <v>0</v>
      </c>
      <c r="BA20" s="10">
        <f t="shared" si="1"/>
        <v>0</v>
      </c>
      <c r="BB20" s="10">
        <f t="shared" si="2"/>
        <v>0</v>
      </c>
      <c r="BC20" s="10">
        <f t="shared" si="3"/>
        <v>0</v>
      </c>
      <c r="BD20" s="10">
        <f t="shared" si="6"/>
        <v>0</v>
      </c>
    </row>
    <row r="21" spans="1:67" ht="16.5" customHeight="1" x14ac:dyDescent="0.2">
      <c r="A21" s="31" t="s">
        <v>577</v>
      </c>
      <c r="B21" s="231">
        <v>0</v>
      </c>
      <c r="C21" s="231"/>
      <c r="D21" s="231"/>
      <c r="E21" s="231"/>
      <c r="F21" s="231"/>
      <c r="G21" s="231"/>
      <c r="H21" s="231"/>
      <c r="I21" s="231"/>
      <c r="J21" s="231"/>
      <c r="K21" s="10">
        <f>SUM(B21:J21)</f>
        <v>0</v>
      </c>
      <c r="L21" s="231">
        <v>0</v>
      </c>
      <c r="M21" s="231"/>
      <c r="N21" s="231"/>
      <c r="O21" s="231"/>
      <c r="P21" s="231"/>
      <c r="Q21" s="231"/>
      <c r="R21" s="231"/>
      <c r="S21" s="231"/>
      <c r="T21" s="231"/>
      <c r="U21" s="10">
        <f>SUM(L21:T21)</f>
        <v>0</v>
      </c>
      <c r="V21" s="231">
        <v>0</v>
      </c>
      <c r="W21" s="231"/>
      <c r="X21" s="231"/>
      <c r="Y21" s="231"/>
      <c r="Z21" s="231"/>
      <c r="AA21" s="231"/>
      <c r="AB21" s="231"/>
      <c r="AC21" s="231"/>
      <c r="AD21" s="231"/>
      <c r="AE21" s="10">
        <f>SUM(V21:AD21)</f>
        <v>0</v>
      </c>
      <c r="AF21" s="231"/>
      <c r="AG21" s="231"/>
      <c r="AH21" s="231"/>
      <c r="AI21" s="231"/>
      <c r="AJ21" s="231"/>
      <c r="AK21" s="231"/>
      <c r="AL21" s="231"/>
      <c r="AM21" s="231"/>
      <c r="AN21" s="231"/>
      <c r="AO21" s="10">
        <f>SUM(AF21:AN21)</f>
        <v>0</v>
      </c>
      <c r="AP21" s="231">
        <v>0</v>
      </c>
      <c r="AQ21" s="231"/>
      <c r="AR21" s="231"/>
      <c r="AS21" s="231"/>
      <c r="AT21" s="231"/>
      <c r="AU21" s="231"/>
      <c r="AV21" s="231"/>
      <c r="AW21" s="231"/>
      <c r="AX21" s="231"/>
      <c r="AY21" s="10">
        <f>SUM(AP21:AX21)</f>
        <v>0</v>
      </c>
      <c r="AZ21" s="10">
        <f t="shared" si="0"/>
        <v>0</v>
      </c>
      <c r="BA21" s="10">
        <f t="shared" si="1"/>
        <v>0</v>
      </c>
      <c r="BB21" s="10">
        <f t="shared" si="2"/>
        <v>0</v>
      </c>
      <c r="BC21" s="10">
        <f t="shared" si="3"/>
        <v>0</v>
      </c>
      <c r="BD21" s="10">
        <f t="shared" si="6"/>
        <v>0</v>
      </c>
    </row>
    <row r="22" spans="1:67" s="13" customFormat="1" ht="16.5" customHeight="1" x14ac:dyDescent="0.2">
      <c r="A22" s="39" t="s">
        <v>298</v>
      </c>
      <c r="B22" s="234">
        <v>287</v>
      </c>
      <c r="C22" s="234"/>
      <c r="D22" s="234">
        <v>170</v>
      </c>
      <c r="E22" s="234"/>
      <c r="F22" s="234"/>
      <c r="G22" s="234"/>
      <c r="H22" s="234"/>
      <c r="I22" s="234"/>
      <c r="J22" s="234"/>
      <c r="K22" s="13">
        <f>SUM(B22:J22)</f>
        <v>457</v>
      </c>
      <c r="L22" s="234">
        <v>254</v>
      </c>
      <c r="M22" s="234"/>
      <c r="N22" s="234">
        <v>472</v>
      </c>
      <c r="O22" s="234"/>
      <c r="P22" s="234"/>
      <c r="Q22" s="234"/>
      <c r="R22" s="234"/>
      <c r="S22" s="234"/>
      <c r="T22" s="234"/>
      <c r="U22" s="13">
        <f>SUM(L22:T22)</f>
        <v>726</v>
      </c>
      <c r="V22" s="234">
        <v>222</v>
      </c>
      <c r="W22" s="234"/>
      <c r="X22" s="234">
        <v>675</v>
      </c>
      <c r="Y22" s="234"/>
      <c r="Z22" s="234"/>
      <c r="AA22" s="234"/>
      <c r="AB22" s="234"/>
      <c r="AC22" s="234"/>
      <c r="AD22" s="234"/>
      <c r="AE22" s="13">
        <f>SUM(V22:AD22)</f>
        <v>897</v>
      </c>
      <c r="AF22" s="234">
        <v>246</v>
      </c>
      <c r="AG22" s="234"/>
      <c r="AH22" s="234">
        <v>283</v>
      </c>
      <c r="AI22" s="234"/>
      <c r="AJ22" s="234"/>
      <c r="AK22" s="234"/>
      <c r="AL22" s="234"/>
      <c r="AM22" s="234"/>
      <c r="AN22" s="234"/>
      <c r="AO22" s="13">
        <f>SUM(AF22:AN22)</f>
        <v>529</v>
      </c>
      <c r="AP22" s="234">
        <v>514</v>
      </c>
      <c r="AQ22" s="234"/>
      <c r="AR22" s="234">
        <v>319</v>
      </c>
      <c r="AS22" s="234"/>
      <c r="AT22" s="234"/>
      <c r="AU22" s="234"/>
      <c r="AV22" s="234"/>
      <c r="AW22" s="234"/>
      <c r="AX22" s="234"/>
      <c r="AY22" s="13">
        <f>SUM(AP22:AX22)</f>
        <v>833</v>
      </c>
      <c r="AZ22" s="13">
        <f t="shared" si="0"/>
        <v>457</v>
      </c>
      <c r="BA22" s="13">
        <f t="shared" si="1"/>
        <v>726</v>
      </c>
      <c r="BB22" s="13">
        <f t="shared" si="2"/>
        <v>897</v>
      </c>
      <c r="BC22" s="13">
        <f t="shared" si="3"/>
        <v>529</v>
      </c>
      <c r="BD22" s="13">
        <f t="shared" si="6"/>
        <v>833</v>
      </c>
      <c r="BE22" s="88"/>
      <c r="BF22" s="88"/>
      <c r="BG22" s="88"/>
      <c r="BH22" s="88"/>
      <c r="BI22" s="88"/>
      <c r="BJ22" s="88"/>
      <c r="BK22" s="88"/>
      <c r="BL22" s="88"/>
      <c r="BM22" s="88"/>
      <c r="BN22" s="88"/>
      <c r="BO22" s="88"/>
    </row>
    <row r="23" spans="1:67" s="16" customFormat="1" ht="16.5" customHeight="1" thickBot="1" x14ac:dyDescent="0.25">
      <c r="A23" s="16" t="s">
        <v>50</v>
      </c>
      <c r="B23" s="17">
        <f>SUM(B14,B18:B22)</f>
        <v>8491</v>
      </c>
      <c r="C23" s="16">
        <f t="shared" ref="C23:K23" si="11">SUM(C14,C18:C22)</f>
        <v>851</v>
      </c>
      <c r="D23" s="16">
        <f t="shared" si="11"/>
        <v>1443</v>
      </c>
      <c r="E23" s="16">
        <f t="shared" si="11"/>
        <v>0</v>
      </c>
      <c r="F23" s="16">
        <f t="shared" si="11"/>
        <v>0</v>
      </c>
      <c r="G23" s="16">
        <f t="shared" si="11"/>
        <v>0</v>
      </c>
      <c r="H23" s="16">
        <f t="shared" si="11"/>
        <v>0</v>
      </c>
      <c r="I23" s="16">
        <f t="shared" si="11"/>
        <v>0</v>
      </c>
      <c r="J23" s="16">
        <f t="shared" si="11"/>
        <v>0</v>
      </c>
      <c r="K23" s="17">
        <f t="shared" si="11"/>
        <v>10785</v>
      </c>
      <c r="L23" s="17">
        <f t="shared" ref="L23:AY23" si="12">SUM(L14,L18:L22)</f>
        <v>8089</v>
      </c>
      <c r="M23" s="16">
        <f t="shared" si="12"/>
        <v>1270</v>
      </c>
      <c r="N23" s="16">
        <f t="shared" si="12"/>
        <v>1901</v>
      </c>
      <c r="O23" s="16">
        <f t="shared" si="12"/>
        <v>0</v>
      </c>
      <c r="P23" s="16">
        <f t="shared" si="12"/>
        <v>0</v>
      </c>
      <c r="Q23" s="16">
        <f t="shared" si="12"/>
        <v>0</v>
      </c>
      <c r="R23" s="16">
        <f t="shared" si="12"/>
        <v>0</v>
      </c>
      <c r="S23" s="16">
        <f t="shared" si="12"/>
        <v>0</v>
      </c>
      <c r="T23" s="16">
        <f t="shared" si="12"/>
        <v>0</v>
      </c>
      <c r="U23" s="17">
        <f t="shared" si="12"/>
        <v>11260</v>
      </c>
      <c r="V23" s="17">
        <f t="shared" si="12"/>
        <v>8574</v>
      </c>
      <c r="W23" s="16">
        <f t="shared" si="12"/>
        <v>1565</v>
      </c>
      <c r="X23" s="16">
        <f t="shared" si="12"/>
        <v>2125</v>
      </c>
      <c r="Y23" s="16">
        <f t="shared" si="12"/>
        <v>0</v>
      </c>
      <c r="Z23" s="16">
        <f t="shared" si="12"/>
        <v>0</v>
      </c>
      <c r="AA23" s="16">
        <f t="shared" si="12"/>
        <v>0</v>
      </c>
      <c r="AB23" s="16">
        <f t="shared" si="12"/>
        <v>0</v>
      </c>
      <c r="AC23" s="16">
        <f t="shared" si="12"/>
        <v>0</v>
      </c>
      <c r="AD23" s="16">
        <f t="shared" si="12"/>
        <v>0</v>
      </c>
      <c r="AE23" s="17">
        <f t="shared" si="12"/>
        <v>12264</v>
      </c>
      <c r="AF23" s="17">
        <f t="shared" si="12"/>
        <v>9245</v>
      </c>
      <c r="AG23" s="16">
        <f t="shared" si="12"/>
        <v>1826</v>
      </c>
      <c r="AH23" s="16">
        <f t="shared" si="12"/>
        <v>2092</v>
      </c>
      <c r="AI23" s="16">
        <f t="shared" si="12"/>
        <v>0</v>
      </c>
      <c r="AJ23" s="16">
        <f t="shared" si="12"/>
        <v>0</v>
      </c>
      <c r="AK23" s="16">
        <f t="shared" si="12"/>
        <v>0</v>
      </c>
      <c r="AL23" s="16">
        <f t="shared" si="12"/>
        <v>0</v>
      </c>
      <c r="AM23" s="16">
        <f t="shared" si="12"/>
        <v>0</v>
      </c>
      <c r="AN23" s="16">
        <f t="shared" si="12"/>
        <v>0</v>
      </c>
      <c r="AO23" s="17">
        <f t="shared" si="12"/>
        <v>13163</v>
      </c>
      <c r="AP23" s="17">
        <f t="shared" si="12"/>
        <v>7698</v>
      </c>
      <c r="AQ23" s="16">
        <f t="shared" si="12"/>
        <v>2210</v>
      </c>
      <c r="AR23" s="16">
        <f t="shared" si="12"/>
        <v>2010</v>
      </c>
      <c r="AS23" s="16">
        <f t="shared" si="12"/>
        <v>0</v>
      </c>
      <c r="AT23" s="16">
        <f t="shared" si="12"/>
        <v>0</v>
      </c>
      <c r="AU23" s="16">
        <f t="shared" si="12"/>
        <v>0</v>
      </c>
      <c r="AV23" s="16">
        <f t="shared" si="12"/>
        <v>0</v>
      </c>
      <c r="AW23" s="16">
        <f t="shared" si="12"/>
        <v>0</v>
      </c>
      <c r="AX23" s="16">
        <f t="shared" si="12"/>
        <v>0</v>
      </c>
      <c r="AY23" s="17">
        <f t="shared" si="12"/>
        <v>11918</v>
      </c>
      <c r="AZ23" s="17">
        <f t="shared" si="0"/>
        <v>10785</v>
      </c>
      <c r="BA23" s="17">
        <f t="shared" si="1"/>
        <v>11260</v>
      </c>
      <c r="BB23" s="17">
        <f t="shared" si="2"/>
        <v>12264</v>
      </c>
      <c r="BC23" s="17">
        <f t="shared" si="3"/>
        <v>13163</v>
      </c>
      <c r="BD23" s="17">
        <f t="shared" si="6"/>
        <v>11918</v>
      </c>
      <c r="BE23" s="198"/>
      <c r="BF23" s="198"/>
      <c r="BG23" s="198"/>
      <c r="BH23" s="198"/>
      <c r="BI23" s="198"/>
      <c r="BJ23" s="198"/>
      <c r="BK23" s="198"/>
      <c r="BL23" s="198"/>
      <c r="BM23" s="198"/>
      <c r="BN23" s="198"/>
      <c r="BO23" s="198"/>
    </row>
    <row r="24" spans="1:67" s="82" customFormat="1" ht="9" customHeight="1" x14ac:dyDescent="0.2"/>
    <row r="25" spans="1:67" s="195" customFormat="1" ht="16.5" customHeight="1" x14ac:dyDescent="0.2">
      <c r="A25" s="19" t="s">
        <v>342</v>
      </c>
    </row>
    <row r="26" spans="1:67" s="195" customFormat="1" ht="16.5" customHeight="1" x14ac:dyDescent="0.2">
      <c r="A26" s="19" t="s">
        <v>43</v>
      </c>
    </row>
    <row r="27" spans="1:67" ht="16.5" customHeight="1" x14ac:dyDescent="0.2">
      <c r="A27" s="10" t="s">
        <v>129</v>
      </c>
      <c r="B27" s="230">
        <v>917</v>
      </c>
      <c r="C27" s="231"/>
      <c r="D27" s="231"/>
      <c r="E27" s="231"/>
      <c r="F27" s="231"/>
      <c r="G27" s="231"/>
      <c r="H27" s="231"/>
      <c r="I27" s="231"/>
      <c r="J27" s="231"/>
      <c r="K27" s="8">
        <f t="shared" ref="K27:K34" si="13">SUM(B27:J27)</f>
        <v>917</v>
      </c>
      <c r="L27" s="230">
        <v>1011</v>
      </c>
      <c r="M27" s="231"/>
      <c r="N27" s="231"/>
      <c r="O27" s="231"/>
      <c r="P27" s="231"/>
      <c r="Q27" s="231"/>
      <c r="R27" s="231"/>
      <c r="S27" s="231"/>
      <c r="T27" s="231"/>
      <c r="U27" s="8">
        <f t="shared" ref="U27:U34" si="14">SUM(L27:T27)</f>
        <v>1011</v>
      </c>
      <c r="V27" s="230">
        <v>1263</v>
      </c>
      <c r="W27" s="231"/>
      <c r="X27" s="231"/>
      <c r="Y27" s="231"/>
      <c r="Z27" s="231"/>
      <c r="AA27" s="231"/>
      <c r="AB27" s="231"/>
      <c r="AC27" s="231"/>
      <c r="AD27" s="231"/>
      <c r="AE27" s="8">
        <f t="shared" ref="AE27:AE34" si="15">SUM(V27:AD27)</f>
        <v>1263</v>
      </c>
      <c r="AF27" s="230">
        <v>1328</v>
      </c>
      <c r="AG27" s="231"/>
      <c r="AH27" s="231"/>
      <c r="AI27" s="231"/>
      <c r="AJ27" s="231"/>
      <c r="AK27" s="231"/>
      <c r="AL27" s="231"/>
      <c r="AM27" s="231"/>
      <c r="AN27" s="231"/>
      <c r="AO27" s="8">
        <f t="shared" ref="AO27:AO34" si="16">SUM(AF27:AN27)</f>
        <v>1328</v>
      </c>
      <c r="AP27" s="230">
        <v>1324</v>
      </c>
      <c r="AQ27" s="231"/>
      <c r="AR27" s="231"/>
      <c r="AS27" s="231"/>
      <c r="AT27" s="231"/>
      <c r="AU27" s="231"/>
      <c r="AV27" s="231"/>
      <c r="AW27" s="231"/>
      <c r="AX27" s="231"/>
      <c r="AY27" s="8">
        <f t="shared" ref="AY27:AY34" si="17">SUM(AP27:AX27)</f>
        <v>1324</v>
      </c>
      <c r="AZ27" s="8">
        <f t="shared" ref="AZ27:AZ54" si="18">K27</f>
        <v>917</v>
      </c>
      <c r="BA27" s="8">
        <f t="shared" ref="BA27:BA54" si="19">U27</f>
        <v>1011</v>
      </c>
      <c r="BB27" s="8">
        <f t="shared" ref="BB27:BB54" si="20">AE27</f>
        <v>1263</v>
      </c>
      <c r="BC27" s="8">
        <f t="shared" ref="BC27:BC54" si="21">AO27</f>
        <v>1328</v>
      </c>
      <c r="BD27" s="8">
        <f>AY27</f>
        <v>1324</v>
      </c>
    </row>
    <row r="28" spans="1:67" ht="16.5" customHeight="1" x14ac:dyDescent="0.2">
      <c r="A28" s="10" t="s">
        <v>130</v>
      </c>
      <c r="B28" s="231">
        <v>388</v>
      </c>
      <c r="C28" s="231"/>
      <c r="D28" s="231">
        <v>1273</v>
      </c>
      <c r="E28" s="231"/>
      <c r="F28" s="231"/>
      <c r="G28" s="231"/>
      <c r="H28" s="231"/>
      <c r="I28" s="231"/>
      <c r="J28" s="231"/>
      <c r="K28" s="10">
        <f t="shared" si="13"/>
        <v>1661</v>
      </c>
      <c r="L28" s="231">
        <v>404</v>
      </c>
      <c r="M28" s="231"/>
      <c r="N28" s="231">
        <v>1429</v>
      </c>
      <c r="O28" s="231"/>
      <c r="P28" s="231"/>
      <c r="Q28" s="231"/>
      <c r="R28" s="231"/>
      <c r="S28" s="231"/>
      <c r="T28" s="231"/>
      <c r="U28" s="10">
        <f t="shared" si="14"/>
        <v>1833</v>
      </c>
      <c r="V28" s="231">
        <v>395</v>
      </c>
      <c r="W28" s="231"/>
      <c r="X28" s="231">
        <v>1450</v>
      </c>
      <c r="Y28" s="231"/>
      <c r="Z28" s="231"/>
      <c r="AA28" s="231"/>
      <c r="AB28" s="231"/>
      <c r="AC28" s="231"/>
      <c r="AD28" s="231"/>
      <c r="AE28" s="10">
        <f t="shared" si="15"/>
        <v>1845</v>
      </c>
      <c r="AF28" s="231">
        <v>416</v>
      </c>
      <c r="AG28" s="231"/>
      <c r="AH28" s="231">
        <v>1809</v>
      </c>
      <c r="AI28" s="231"/>
      <c r="AJ28" s="231"/>
      <c r="AK28" s="231"/>
      <c r="AL28" s="231"/>
      <c r="AM28" s="231"/>
      <c r="AN28" s="231"/>
      <c r="AO28" s="10">
        <f t="shared" si="16"/>
        <v>2225</v>
      </c>
      <c r="AP28" s="231">
        <v>416</v>
      </c>
      <c r="AQ28" s="231"/>
      <c r="AR28" s="231">
        <v>1691</v>
      </c>
      <c r="AS28" s="231"/>
      <c r="AT28" s="231"/>
      <c r="AU28" s="231"/>
      <c r="AV28" s="231"/>
      <c r="AW28" s="231"/>
      <c r="AX28" s="231"/>
      <c r="AY28" s="10">
        <f t="shared" si="17"/>
        <v>2107</v>
      </c>
      <c r="AZ28" s="10">
        <f t="shared" si="18"/>
        <v>1661</v>
      </c>
      <c r="BA28" s="10">
        <f t="shared" si="19"/>
        <v>1833</v>
      </c>
      <c r="BB28" s="10">
        <f t="shared" si="20"/>
        <v>1845</v>
      </c>
      <c r="BC28" s="10">
        <f t="shared" si="21"/>
        <v>2225</v>
      </c>
      <c r="BD28" s="10">
        <f>AY28</f>
        <v>2107</v>
      </c>
    </row>
    <row r="29" spans="1:67" ht="16.5" customHeight="1" x14ac:dyDescent="0.2">
      <c r="A29" s="10" t="s">
        <v>131</v>
      </c>
      <c r="B29" s="231">
        <v>0</v>
      </c>
      <c r="C29" s="231"/>
      <c r="D29" s="231"/>
      <c r="E29" s="231"/>
      <c r="F29" s="231"/>
      <c r="G29" s="231"/>
      <c r="H29" s="231"/>
      <c r="I29" s="231"/>
      <c r="J29" s="231"/>
      <c r="K29" s="10">
        <f t="shared" si="13"/>
        <v>0</v>
      </c>
      <c r="L29" s="231">
        <v>0</v>
      </c>
      <c r="M29" s="231"/>
      <c r="N29" s="231"/>
      <c r="O29" s="231"/>
      <c r="P29" s="231"/>
      <c r="Q29" s="231"/>
      <c r="R29" s="231"/>
      <c r="S29" s="231"/>
      <c r="T29" s="231"/>
      <c r="U29" s="10">
        <f t="shared" si="14"/>
        <v>0</v>
      </c>
      <c r="V29" s="231">
        <v>0</v>
      </c>
      <c r="W29" s="231"/>
      <c r="X29" s="231"/>
      <c r="Y29" s="231"/>
      <c r="Z29" s="231"/>
      <c r="AA29" s="231"/>
      <c r="AB29" s="231"/>
      <c r="AC29" s="231"/>
      <c r="AD29" s="231"/>
      <c r="AE29" s="10">
        <f t="shared" si="15"/>
        <v>0</v>
      </c>
      <c r="AF29" s="231"/>
      <c r="AG29" s="231"/>
      <c r="AH29" s="231"/>
      <c r="AI29" s="231"/>
      <c r="AJ29" s="231"/>
      <c r="AK29" s="231"/>
      <c r="AL29" s="231"/>
      <c r="AM29" s="231"/>
      <c r="AN29" s="231"/>
      <c r="AO29" s="10">
        <f t="shared" si="16"/>
        <v>0</v>
      </c>
      <c r="AP29" s="231">
        <v>0</v>
      </c>
      <c r="AQ29" s="231"/>
      <c r="AR29" s="231"/>
      <c r="AS29" s="231"/>
      <c r="AT29" s="231"/>
      <c r="AU29" s="231"/>
      <c r="AV29" s="231"/>
      <c r="AW29" s="231"/>
      <c r="AX29" s="231"/>
      <c r="AY29" s="10">
        <f t="shared" si="17"/>
        <v>0</v>
      </c>
      <c r="AZ29" s="10">
        <f t="shared" si="18"/>
        <v>0</v>
      </c>
      <c r="BA29" s="10">
        <f t="shared" si="19"/>
        <v>0</v>
      </c>
      <c r="BB29" s="10">
        <f t="shared" si="20"/>
        <v>0</v>
      </c>
      <c r="BC29" s="10">
        <f t="shared" si="21"/>
        <v>0</v>
      </c>
      <c r="BD29" s="10">
        <f t="shared" ref="BD29:BD54" si="22">AY29</f>
        <v>0</v>
      </c>
    </row>
    <row r="30" spans="1:67" ht="16.5" customHeight="1" x14ac:dyDescent="0.2">
      <c r="A30" s="31" t="s">
        <v>163</v>
      </c>
      <c r="B30" s="231">
        <v>0</v>
      </c>
      <c r="C30" s="231"/>
      <c r="D30" s="231"/>
      <c r="E30" s="231"/>
      <c r="F30" s="231"/>
      <c r="G30" s="231"/>
      <c r="H30" s="231"/>
      <c r="I30" s="231"/>
      <c r="J30" s="231"/>
      <c r="K30" s="10">
        <f t="shared" si="13"/>
        <v>0</v>
      </c>
      <c r="L30" s="231">
        <v>0</v>
      </c>
      <c r="M30" s="231"/>
      <c r="N30" s="231"/>
      <c r="O30" s="231"/>
      <c r="P30" s="231"/>
      <c r="Q30" s="231"/>
      <c r="R30" s="231"/>
      <c r="S30" s="231"/>
      <c r="T30" s="231"/>
      <c r="U30" s="10">
        <f t="shared" si="14"/>
        <v>0</v>
      </c>
      <c r="V30" s="231">
        <v>0</v>
      </c>
      <c r="W30" s="231"/>
      <c r="X30" s="231"/>
      <c r="Y30" s="231"/>
      <c r="Z30" s="231"/>
      <c r="AA30" s="231"/>
      <c r="AB30" s="231"/>
      <c r="AC30" s="231"/>
      <c r="AD30" s="231"/>
      <c r="AE30" s="10">
        <f t="shared" si="15"/>
        <v>0</v>
      </c>
      <c r="AF30" s="231"/>
      <c r="AG30" s="231"/>
      <c r="AH30" s="231"/>
      <c r="AI30" s="231"/>
      <c r="AJ30" s="231"/>
      <c r="AK30" s="231"/>
      <c r="AL30" s="231"/>
      <c r="AM30" s="231"/>
      <c r="AN30" s="231"/>
      <c r="AO30" s="10">
        <f t="shared" si="16"/>
        <v>0</v>
      </c>
      <c r="AP30" s="231">
        <v>0</v>
      </c>
      <c r="AQ30" s="231"/>
      <c r="AR30" s="231"/>
      <c r="AS30" s="231"/>
      <c r="AT30" s="231"/>
      <c r="AU30" s="231"/>
      <c r="AV30" s="231"/>
      <c r="AW30" s="231"/>
      <c r="AX30" s="231"/>
      <c r="AY30" s="10">
        <f t="shared" si="17"/>
        <v>0</v>
      </c>
      <c r="AZ30" s="10">
        <f t="shared" si="18"/>
        <v>0</v>
      </c>
      <c r="BA30" s="10">
        <f t="shared" si="19"/>
        <v>0</v>
      </c>
      <c r="BB30" s="10">
        <f t="shared" si="20"/>
        <v>0</v>
      </c>
      <c r="BC30" s="10">
        <f t="shared" si="21"/>
        <v>0</v>
      </c>
      <c r="BD30" s="10">
        <f t="shared" si="22"/>
        <v>0</v>
      </c>
    </row>
    <row r="31" spans="1:67" ht="16.5" customHeight="1" x14ac:dyDescent="0.2">
      <c r="A31" s="31" t="s">
        <v>297</v>
      </c>
      <c r="B31" s="231">
        <v>0</v>
      </c>
      <c r="C31" s="32">
        <f>'Oper Lease Adjust 2'!H83</f>
        <v>85</v>
      </c>
      <c r="D31" s="231"/>
      <c r="E31" s="231"/>
      <c r="F31" s="231"/>
      <c r="G31" s="231"/>
      <c r="H31" s="231"/>
      <c r="I31" s="231"/>
      <c r="J31" s="231"/>
      <c r="K31" s="10">
        <f t="shared" si="13"/>
        <v>85</v>
      </c>
      <c r="L31" s="231">
        <v>0</v>
      </c>
      <c r="M31" s="32">
        <f>'Oper Lease Adjust 3'!H83</f>
        <v>97</v>
      </c>
      <c r="N31" s="231"/>
      <c r="O31" s="231"/>
      <c r="P31" s="231"/>
      <c r="Q31" s="231"/>
      <c r="R31" s="231"/>
      <c r="S31" s="231"/>
      <c r="T31" s="231"/>
      <c r="U31" s="10">
        <f t="shared" si="14"/>
        <v>97</v>
      </c>
      <c r="V31" s="231">
        <v>0</v>
      </c>
      <c r="W31" s="32">
        <f>'Oper Lease Adjust 4'!H83</f>
        <v>108</v>
      </c>
      <c r="X31" s="231"/>
      <c r="Y31" s="231"/>
      <c r="Z31" s="231"/>
      <c r="AA31" s="231"/>
      <c r="AB31" s="231"/>
      <c r="AC31" s="231"/>
      <c r="AD31" s="231"/>
      <c r="AE31" s="10">
        <f t="shared" si="15"/>
        <v>108</v>
      </c>
      <c r="AF31" s="231"/>
      <c r="AG31" s="32">
        <f>'Oper Lease Adjust 5'!H83</f>
        <v>130</v>
      </c>
      <c r="AH31" s="231"/>
      <c r="AI31" s="231"/>
      <c r="AJ31" s="231"/>
      <c r="AK31" s="231"/>
      <c r="AL31" s="231"/>
      <c r="AM31" s="231"/>
      <c r="AN31" s="231"/>
      <c r="AO31" s="10">
        <f t="shared" si="16"/>
        <v>130</v>
      </c>
      <c r="AP31" s="231">
        <v>0</v>
      </c>
      <c r="AQ31" s="32">
        <f>'Oper Lease Adjust 6'!H83</f>
        <v>156</v>
      </c>
      <c r="AR31" s="231"/>
      <c r="AS31" s="231"/>
      <c r="AT31" s="231"/>
      <c r="AU31" s="231"/>
      <c r="AV31" s="231"/>
      <c r="AW31" s="231"/>
      <c r="AX31" s="231"/>
      <c r="AY31" s="10">
        <f t="shared" si="17"/>
        <v>156</v>
      </c>
      <c r="AZ31" s="10">
        <f t="shared" si="18"/>
        <v>85</v>
      </c>
      <c r="BA31" s="10">
        <f t="shared" si="19"/>
        <v>97</v>
      </c>
      <c r="BB31" s="10">
        <f t="shared" si="20"/>
        <v>108</v>
      </c>
      <c r="BC31" s="10">
        <f t="shared" si="21"/>
        <v>130</v>
      </c>
      <c r="BD31" s="10">
        <f t="shared" si="22"/>
        <v>156</v>
      </c>
    </row>
    <row r="32" spans="1:67" s="13" customFormat="1" ht="16.5" customHeight="1" x14ac:dyDescent="0.2">
      <c r="A32" s="39" t="s">
        <v>289</v>
      </c>
      <c r="B32" s="234">
        <v>0</v>
      </c>
      <c r="C32" s="234"/>
      <c r="D32" s="234"/>
      <c r="E32" s="234"/>
      <c r="F32" s="234"/>
      <c r="G32" s="234"/>
      <c r="H32" s="234"/>
      <c r="I32" s="234"/>
      <c r="J32" s="234"/>
      <c r="K32" s="10">
        <f t="shared" si="13"/>
        <v>0</v>
      </c>
      <c r="L32" s="234">
        <v>0</v>
      </c>
      <c r="M32" s="234"/>
      <c r="N32" s="234"/>
      <c r="O32" s="234"/>
      <c r="P32" s="234"/>
      <c r="Q32" s="234"/>
      <c r="R32" s="234"/>
      <c r="S32" s="234"/>
      <c r="T32" s="234"/>
      <c r="U32" s="10">
        <f t="shared" si="14"/>
        <v>0</v>
      </c>
      <c r="V32" s="234">
        <v>0</v>
      </c>
      <c r="W32" s="234"/>
      <c r="X32" s="234"/>
      <c r="Y32" s="234"/>
      <c r="Z32" s="234"/>
      <c r="AA32" s="234"/>
      <c r="AB32" s="234"/>
      <c r="AC32" s="234"/>
      <c r="AD32" s="234"/>
      <c r="AE32" s="10">
        <f t="shared" si="15"/>
        <v>0</v>
      </c>
      <c r="AF32" s="234"/>
      <c r="AG32" s="234"/>
      <c r="AH32" s="234"/>
      <c r="AI32" s="234"/>
      <c r="AJ32" s="234"/>
      <c r="AK32" s="234"/>
      <c r="AL32" s="234"/>
      <c r="AM32" s="234"/>
      <c r="AN32" s="234"/>
      <c r="AO32" s="10">
        <f t="shared" si="16"/>
        <v>0</v>
      </c>
      <c r="AP32" s="234">
        <v>0</v>
      </c>
      <c r="AQ32" s="234"/>
      <c r="AR32" s="234"/>
      <c r="AS32" s="234"/>
      <c r="AT32" s="234"/>
      <c r="AU32" s="234"/>
      <c r="AV32" s="234"/>
      <c r="AW32" s="234"/>
      <c r="AX32" s="234"/>
      <c r="AY32" s="10">
        <f t="shared" si="17"/>
        <v>0</v>
      </c>
      <c r="AZ32" s="10">
        <f>K32</f>
        <v>0</v>
      </c>
      <c r="BA32" s="10">
        <f>U32</f>
        <v>0</v>
      </c>
      <c r="BB32" s="10">
        <f>AE32</f>
        <v>0</v>
      </c>
      <c r="BC32" s="10">
        <f>AO32</f>
        <v>0</v>
      </c>
      <c r="BD32" s="10">
        <f>AY32</f>
        <v>0</v>
      </c>
      <c r="BE32" s="88"/>
      <c r="BF32" s="88"/>
      <c r="BG32" s="88"/>
      <c r="BH32" s="88"/>
      <c r="BI32" s="88"/>
      <c r="BJ32" s="88"/>
      <c r="BK32" s="88"/>
      <c r="BL32" s="88"/>
      <c r="BM32" s="88"/>
      <c r="BN32" s="88"/>
      <c r="BO32" s="88"/>
    </row>
    <row r="33" spans="1:67" s="13" customFormat="1" ht="16.5" customHeight="1" x14ac:dyDescent="0.2">
      <c r="A33" s="39" t="s">
        <v>288</v>
      </c>
      <c r="B33" s="234">
        <v>506</v>
      </c>
      <c r="C33" s="234"/>
      <c r="D33" s="234"/>
      <c r="E33" s="234"/>
      <c r="F33" s="234"/>
      <c r="G33" s="234"/>
      <c r="H33" s="234"/>
      <c r="I33" s="234"/>
      <c r="J33" s="234"/>
      <c r="K33" s="10">
        <f t="shared" si="13"/>
        <v>506</v>
      </c>
      <c r="L33" s="234">
        <v>7</v>
      </c>
      <c r="M33" s="234"/>
      <c r="N33" s="234"/>
      <c r="O33" s="234"/>
      <c r="P33" s="234"/>
      <c r="Q33" s="234"/>
      <c r="R33" s="234"/>
      <c r="S33" s="234"/>
      <c r="T33" s="234"/>
      <c r="U33" s="10">
        <f t="shared" si="14"/>
        <v>7</v>
      </c>
      <c r="V33" s="234">
        <v>7</v>
      </c>
      <c r="W33" s="234"/>
      <c r="X33" s="234"/>
      <c r="Y33" s="234"/>
      <c r="Z33" s="234"/>
      <c r="AA33" s="234"/>
      <c r="AB33" s="234"/>
      <c r="AC33" s="234"/>
      <c r="AD33" s="234"/>
      <c r="AE33" s="10">
        <f t="shared" si="15"/>
        <v>7</v>
      </c>
      <c r="AF33" s="234">
        <v>8</v>
      </c>
      <c r="AG33" s="234"/>
      <c r="AH33" s="234"/>
      <c r="AI33" s="234"/>
      <c r="AJ33" s="234"/>
      <c r="AK33" s="234"/>
      <c r="AL33" s="234"/>
      <c r="AM33" s="234"/>
      <c r="AN33" s="234"/>
      <c r="AO33" s="10">
        <f t="shared" si="16"/>
        <v>8</v>
      </c>
      <c r="AP33" s="234">
        <v>10</v>
      </c>
      <c r="AQ33" s="234"/>
      <c r="AR33" s="234"/>
      <c r="AS33" s="234"/>
      <c r="AT33" s="234"/>
      <c r="AU33" s="234"/>
      <c r="AV33" s="234"/>
      <c r="AW33" s="234"/>
      <c r="AX33" s="234"/>
      <c r="AY33" s="10">
        <f t="shared" si="17"/>
        <v>10</v>
      </c>
      <c r="AZ33" s="10">
        <f>K33</f>
        <v>506</v>
      </c>
      <c r="BA33" s="10">
        <f>U33</f>
        <v>7</v>
      </c>
      <c r="BB33" s="10">
        <f>AE33</f>
        <v>7</v>
      </c>
      <c r="BC33" s="10">
        <f>AO33</f>
        <v>8</v>
      </c>
      <c r="BD33" s="10">
        <f>AY33</f>
        <v>10</v>
      </c>
      <c r="BE33" s="88"/>
      <c r="BF33" s="88"/>
      <c r="BG33" s="88"/>
      <c r="BH33" s="88"/>
      <c r="BI33" s="88"/>
      <c r="BJ33" s="88"/>
      <c r="BK33" s="88"/>
      <c r="BL33" s="88"/>
      <c r="BM33" s="88"/>
      <c r="BN33" s="88"/>
      <c r="BO33" s="88"/>
    </row>
    <row r="34" spans="1:67" s="20" customFormat="1" ht="16.5" customHeight="1" x14ac:dyDescent="0.2">
      <c r="A34" s="34" t="s">
        <v>69</v>
      </c>
      <c r="B34" s="232">
        <v>764</v>
      </c>
      <c r="C34" s="232"/>
      <c r="D34" s="232"/>
      <c r="E34" s="232"/>
      <c r="F34" s="232"/>
      <c r="G34" s="232"/>
      <c r="H34" s="232"/>
      <c r="I34" s="232"/>
      <c r="J34" s="232"/>
      <c r="K34" s="20">
        <f t="shared" si="13"/>
        <v>764</v>
      </c>
      <c r="L34" s="232">
        <v>804</v>
      </c>
      <c r="M34" s="232"/>
      <c r="N34" s="232"/>
      <c r="O34" s="232"/>
      <c r="P34" s="232"/>
      <c r="Q34" s="232"/>
      <c r="R34" s="232"/>
      <c r="S34" s="232"/>
      <c r="T34" s="232"/>
      <c r="U34" s="20">
        <f t="shared" si="14"/>
        <v>804</v>
      </c>
      <c r="V34" s="232">
        <v>876</v>
      </c>
      <c r="W34" s="232"/>
      <c r="X34" s="232"/>
      <c r="Y34" s="232"/>
      <c r="Z34" s="232"/>
      <c r="AA34" s="232"/>
      <c r="AB34" s="232"/>
      <c r="AC34" s="232"/>
      <c r="AD34" s="232"/>
      <c r="AE34" s="20">
        <f t="shared" si="15"/>
        <v>876</v>
      </c>
      <c r="AF34" s="232">
        <v>1048</v>
      </c>
      <c r="AG34" s="232"/>
      <c r="AH34" s="232"/>
      <c r="AI34" s="232"/>
      <c r="AJ34" s="232"/>
      <c r="AK34" s="232"/>
      <c r="AL34" s="232"/>
      <c r="AM34" s="232"/>
      <c r="AN34" s="232"/>
      <c r="AO34" s="20">
        <f t="shared" si="16"/>
        <v>1048</v>
      </c>
      <c r="AP34" s="232">
        <v>1161</v>
      </c>
      <c r="AQ34" s="232"/>
      <c r="AR34" s="232"/>
      <c r="AS34" s="232"/>
      <c r="AT34" s="232"/>
      <c r="AU34" s="232"/>
      <c r="AV34" s="232"/>
      <c r="AW34" s="232"/>
      <c r="AX34" s="232"/>
      <c r="AY34" s="20">
        <f t="shared" si="17"/>
        <v>1161</v>
      </c>
      <c r="AZ34" s="20">
        <f t="shared" si="18"/>
        <v>764</v>
      </c>
      <c r="BA34" s="20">
        <f t="shared" si="19"/>
        <v>804</v>
      </c>
      <c r="BB34" s="20">
        <f t="shared" si="20"/>
        <v>876</v>
      </c>
      <c r="BC34" s="20">
        <f t="shared" si="21"/>
        <v>1048</v>
      </c>
      <c r="BD34" s="20">
        <f t="shared" si="22"/>
        <v>1161</v>
      </c>
      <c r="BE34" s="194"/>
      <c r="BF34" s="194"/>
      <c r="BG34" s="194"/>
      <c r="BH34" s="194"/>
      <c r="BI34" s="194"/>
      <c r="BJ34" s="194"/>
      <c r="BK34" s="194"/>
      <c r="BL34" s="194"/>
      <c r="BM34" s="194"/>
      <c r="BN34" s="194"/>
      <c r="BO34" s="194"/>
    </row>
    <row r="35" spans="1:67" s="49" customFormat="1" ht="16.5" customHeight="1" x14ac:dyDescent="0.2">
      <c r="A35" s="49" t="s">
        <v>70</v>
      </c>
      <c r="B35" s="49">
        <f>SUM(B27:B34)</f>
        <v>2575</v>
      </c>
      <c r="C35" s="49">
        <f t="shared" ref="C35:K35" si="23">SUM(C27:C34)</f>
        <v>85</v>
      </c>
      <c r="D35" s="49">
        <f t="shared" si="23"/>
        <v>1273</v>
      </c>
      <c r="E35" s="49">
        <f t="shared" si="23"/>
        <v>0</v>
      </c>
      <c r="F35" s="49">
        <f t="shared" si="23"/>
        <v>0</v>
      </c>
      <c r="G35" s="49">
        <f t="shared" si="23"/>
        <v>0</v>
      </c>
      <c r="H35" s="49">
        <f t="shared" si="23"/>
        <v>0</v>
      </c>
      <c r="I35" s="49">
        <f t="shared" si="23"/>
        <v>0</v>
      </c>
      <c r="J35" s="49">
        <f t="shared" si="23"/>
        <v>0</v>
      </c>
      <c r="K35" s="49">
        <f t="shared" si="23"/>
        <v>3933</v>
      </c>
      <c r="L35" s="49">
        <f t="shared" ref="L35:AY35" si="24">SUM(L27:L34)</f>
        <v>2226</v>
      </c>
      <c r="M35" s="49">
        <f t="shared" si="24"/>
        <v>97</v>
      </c>
      <c r="N35" s="49">
        <f t="shared" si="24"/>
        <v>1429</v>
      </c>
      <c r="O35" s="49">
        <f t="shared" si="24"/>
        <v>0</v>
      </c>
      <c r="P35" s="49">
        <f t="shared" si="24"/>
        <v>0</v>
      </c>
      <c r="Q35" s="49">
        <f t="shared" si="24"/>
        <v>0</v>
      </c>
      <c r="R35" s="49">
        <f t="shared" si="24"/>
        <v>0</v>
      </c>
      <c r="S35" s="49">
        <f t="shared" si="24"/>
        <v>0</v>
      </c>
      <c r="T35" s="49">
        <f t="shared" si="24"/>
        <v>0</v>
      </c>
      <c r="U35" s="49">
        <f t="shared" si="24"/>
        <v>3752</v>
      </c>
      <c r="V35" s="49">
        <f t="shared" si="24"/>
        <v>2541</v>
      </c>
      <c r="W35" s="49">
        <f t="shared" si="24"/>
        <v>108</v>
      </c>
      <c r="X35" s="49">
        <f t="shared" si="24"/>
        <v>1450</v>
      </c>
      <c r="Y35" s="49">
        <f t="shared" si="24"/>
        <v>0</v>
      </c>
      <c r="Z35" s="49">
        <f t="shared" si="24"/>
        <v>0</v>
      </c>
      <c r="AA35" s="49">
        <f t="shared" si="24"/>
        <v>0</v>
      </c>
      <c r="AB35" s="49">
        <f t="shared" si="24"/>
        <v>0</v>
      </c>
      <c r="AC35" s="49">
        <f t="shared" si="24"/>
        <v>0</v>
      </c>
      <c r="AD35" s="49">
        <f t="shared" si="24"/>
        <v>0</v>
      </c>
      <c r="AE35" s="49">
        <f t="shared" si="24"/>
        <v>4099</v>
      </c>
      <c r="AF35" s="49">
        <f t="shared" si="24"/>
        <v>2800</v>
      </c>
      <c r="AG35" s="49">
        <f t="shared" si="24"/>
        <v>130</v>
      </c>
      <c r="AH35" s="49">
        <f t="shared" si="24"/>
        <v>1809</v>
      </c>
      <c r="AI35" s="49">
        <f t="shared" si="24"/>
        <v>0</v>
      </c>
      <c r="AJ35" s="49">
        <f t="shared" si="24"/>
        <v>0</v>
      </c>
      <c r="AK35" s="49">
        <f t="shared" si="24"/>
        <v>0</v>
      </c>
      <c r="AL35" s="49">
        <f t="shared" si="24"/>
        <v>0</v>
      </c>
      <c r="AM35" s="49">
        <f t="shared" si="24"/>
        <v>0</v>
      </c>
      <c r="AN35" s="49">
        <f t="shared" si="24"/>
        <v>0</v>
      </c>
      <c r="AO35" s="49">
        <f t="shared" si="24"/>
        <v>4739</v>
      </c>
      <c r="AP35" s="49">
        <f t="shared" si="24"/>
        <v>2911</v>
      </c>
      <c r="AQ35" s="49">
        <f t="shared" si="24"/>
        <v>156</v>
      </c>
      <c r="AR35" s="49">
        <f t="shared" si="24"/>
        <v>1691</v>
      </c>
      <c r="AS35" s="49">
        <f t="shared" si="24"/>
        <v>0</v>
      </c>
      <c r="AT35" s="49">
        <f t="shared" si="24"/>
        <v>0</v>
      </c>
      <c r="AU35" s="49">
        <f t="shared" si="24"/>
        <v>0</v>
      </c>
      <c r="AV35" s="49">
        <f t="shared" si="24"/>
        <v>0</v>
      </c>
      <c r="AW35" s="49">
        <f t="shared" si="24"/>
        <v>0</v>
      </c>
      <c r="AX35" s="49">
        <f t="shared" si="24"/>
        <v>0</v>
      </c>
      <c r="AY35" s="49">
        <f t="shared" si="24"/>
        <v>4758</v>
      </c>
      <c r="AZ35" s="49">
        <f t="shared" si="18"/>
        <v>3933</v>
      </c>
      <c r="BA35" s="49">
        <f t="shared" si="19"/>
        <v>3752</v>
      </c>
      <c r="BB35" s="49">
        <f t="shared" si="20"/>
        <v>4099</v>
      </c>
      <c r="BC35" s="49">
        <f t="shared" si="21"/>
        <v>4739</v>
      </c>
      <c r="BD35" s="49">
        <f t="shared" si="22"/>
        <v>4758</v>
      </c>
      <c r="BE35" s="196"/>
      <c r="BF35" s="196"/>
      <c r="BG35" s="196"/>
      <c r="BH35" s="196"/>
      <c r="BI35" s="196"/>
      <c r="BJ35" s="196"/>
      <c r="BK35" s="196"/>
      <c r="BL35" s="196"/>
      <c r="BM35" s="196"/>
      <c r="BN35" s="196"/>
      <c r="BO35" s="196"/>
    </row>
    <row r="36" spans="1:67" ht="16.5" customHeight="1" x14ac:dyDescent="0.2">
      <c r="A36" s="31" t="s">
        <v>290</v>
      </c>
      <c r="B36" s="231">
        <v>3141</v>
      </c>
      <c r="C36" s="231"/>
      <c r="D36" s="231"/>
      <c r="E36" s="231"/>
      <c r="F36" s="231"/>
      <c r="G36" s="231"/>
      <c r="H36" s="231"/>
      <c r="I36" s="231"/>
      <c r="J36" s="231"/>
      <c r="K36" s="10">
        <f>SUM(B36:J36)</f>
        <v>3141</v>
      </c>
      <c r="L36" s="231">
        <v>3124</v>
      </c>
      <c r="M36" s="231"/>
      <c r="N36" s="231"/>
      <c r="O36" s="231"/>
      <c r="P36" s="231"/>
      <c r="Q36" s="231"/>
      <c r="R36" s="231"/>
      <c r="S36" s="231"/>
      <c r="T36" s="231"/>
      <c r="U36" s="10">
        <f>SUM(L36:T36)</f>
        <v>3124</v>
      </c>
      <c r="V36" s="231">
        <v>3106</v>
      </c>
      <c r="W36" s="231"/>
      <c r="X36" s="231"/>
      <c r="Y36" s="231"/>
      <c r="Z36" s="231"/>
      <c r="AA36" s="231"/>
      <c r="AB36" s="231"/>
      <c r="AC36" s="231"/>
      <c r="AD36" s="231"/>
      <c r="AE36" s="10">
        <f>SUM(V36:AD36)</f>
        <v>3106</v>
      </c>
      <c r="AF36" s="231">
        <v>3123</v>
      </c>
      <c r="AG36" s="231"/>
      <c r="AH36" s="231"/>
      <c r="AI36" s="231"/>
      <c r="AJ36" s="231"/>
      <c r="AK36" s="231"/>
      <c r="AL36" s="231"/>
      <c r="AM36" s="231"/>
      <c r="AN36" s="231"/>
      <c r="AO36" s="10">
        <f>SUM(AF36:AN36)</f>
        <v>3123</v>
      </c>
      <c r="AP36" s="231">
        <v>2795</v>
      </c>
      <c r="AQ36" s="231"/>
      <c r="AR36" s="231"/>
      <c r="AS36" s="231"/>
      <c r="AT36" s="231"/>
      <c r="AU36" s="231"/>
      <c r="AV36" s="231"/>
      <c r="AW36" s="231"/>
      <c r="AX36" s="231"/>
      <c r="AY36" s="10">
        <f>SUM(AP36:AX36)</f>
        <v>2795</v>
      </c>
      <c r="AZ36" s="10">
        <f t="shared" si="18"/>
        <v>3141</v>
      </c>
      <c r="BA36" s="10">
        <f t="shared" si="19"/>
        <v>3124</v>
      </c>
      <c r="BB36" s="10">
        <f t="shared" si="20"/>
        <v>3106</v>
      </c>
      <c r="BC36" s="10">
        <f t="shared" si="21"/>
        <v>3123</v>
      </c>
      <c r="BD36" s="10">
        <f t="shared" si="22"/>
        <v>2795</v>
      </c>
    </row>
    <row r="37" spans="1:67" ht="16.5" customHeight="1" x14ac:dyDescent="0.2">
      <c r="A37" s="31" t="s">
        <v>664</v>
      </c>
      <c r="B37" s="231">
        <v>0</v>
      </c>
      <c r="C37" s="32">
        <f>'Oper Lease Adjust 2'!H84</f>
        <v>766</v>
      </c>
      <c r="D37" s="231"/>
      <c r="E37" s="231"/>
      <c r="F37" s="231"/>
      <c r="G37" s="231"/>
      <c r="H37" s="231"/>
      <c r="I37" s="231"/>
      <c r="J37" s="231"/>
      <c r="K37" s="10">
        <f>SUM(B37:J37)</f>
        <v>766</v>
      </c>
      <c r="L37" s="231">
        <v>0</v>
      </c>
      <c r="M37" s="32">
        <f>'Oper Lease Adjust 3'!H84</f>
        <v>1173</v>
      </c>
      <c r="N37" s="231"/>
      <c r="O37" s="231"/>
      <c r="P37" s="231"/>
      <c r="Q37" s="231"/>
      <c r="R37" s="231"/>
      <c r="S37" s="231"/>
      <c r="T37" s="231"/>
      <c r="U37" s="10">
        <f>SUM(L37:T37)</f>
        <v>1173</v>
      </c>
      <c r="V37" s="231">
        <v>0</v>
      </c>
      <c r="W37" s="32">
        <f>'Oper Lease Adjust 4'!H84</f>
        <v>1457</v>
      </c>
      <c r="X37" s="231"/>
      <c r="Y37" s="231"/>
      <c r="Z37" s="231"/>
      <c r="AA37" s="231"/>
      <c r="AB37" s="231"/>
      <c r="AC37" s="231"/>
      <c r="AD37" s="231"/>
      <c r="AE37" s="10">
        <f>SUM(V37:AD37)</f>
        <v>1457</v>
      </c>
      <c r="AF37" s="231">
        <v>0</v>
      </c>
      <c r="AG37" s="32">
        <f>'Oper Lease Adjust 5'!H84</f>
        <v>1696</v>
      </c>
      <c r="AH37" s="231"/>
      <c r="AI37" s="231"/>
      <c r="AJ37" s="231"/>
      <c r="AK37" s="231"/>
      <c r="AL37" s="231"/>
      <c r="AM37" s="231"/>
      <c r="AN37" s="231"/>
      <c r="AO37" s="10">
        <f>SUM(AF37:AN37)</f>
        <v>1696</v>
      </c>
      <c r="AP37" s="231">
        <v>0</v>
      </c>
      <c r="AQ37" s="32">
        <f>'Oper Lease Adjust 6'!H84</f>
        <v>2054</v>
      </c>
      <c r="AR37" s="231"/>
      <c r="AS37" s="231"/>
      <c r="AT37" s="231"/>
      <c r="AU37" s="231"/>
      <c r="AV37" s="231"/>
      <c r="AW37" s="231"/>
      <c r="AX37" s="231"/>
      <c r="AY37" s="10">
        <f>SUM(AP37:AX37)</f>
        <v>2054</v>
      </c>
      <c r="AZ37" s="10">
        <f t="shared" si="18"/>
        <v>766</v>
      </c>
      <c r="BA37" s="10">
        <f t="shared" si="19"/>
        <v>1173</v>
      </c>
      <c r="BB37" s="10">
        <f t="shared" si="20"/>
        <v>1457</v>
      </c>
      <c r="BC37" s="10">
        <f t="shared" si="21"/>
        <v>1696</v>
      </c>
      <c r="BD37" s="10">
        <f t="shared" si="22"/>
        <v>2054</v>
      </c>
    </row>
    <row r="38" spans="1:67" ht="16.5" customHeight="1" x14ac:dyDescent="0.2">
      <c r="A38" s="31" t="s">
        <v>395</v>
      </c>
      <c r="B38" s="231">
        <v>0</v>
      </c>
      <c r="C38" s="231"/>
      <c r="D38" s="231"/>
      <c r="E38" s="231"/>
      <c r="F38" s="231"/>
      <c r="G38" s="231"/>
      <c r="H38" s="231"/>
      <c r="I38" s="231"/>
      <c r="J38" s="231"/>
      <c r="K38" s="10">
        <f>SUM(B38:J38)</f>
        <v>0</v>
      </c>
      <c r="L38" s="231">
        <v>0</v>
      </c>
      <c r="M38" s="231"/>
      <c r="N38" s="231"/>
      <c r="O38" s="231"/>
      <c r="P38" s="231"/>
      <c r="Q38" s="231"/>
      <c r="R38" s="231"/>
      <c r="S38" s="231"/>
      <c r="T38" s="231"/>
      <c r="U38" s="10">
        <f>SUM(L38:T38)</f>
        <v>0</v>
      </c>
      <c r="V38" s="231">
        <v>0</v>
      </c>
      <c r="W38" s="231"/>
      <c r="X38" s="231"/>
      <c r="Y38" s="231"/>
      <c r="Z38" s="231"/>
      <c r="AA38" s="231"/>
      <c r="AB38" s="231"/>
      <c r="AC38" s="231"/>
      <c r="AD38" s="231"/>
      <c r="AE38" s="10">
        <f>SUM(V38:AD38)</f>
        <v>0</v>
      </c>
      <c r="AF38" s="231"/>
      <c r="AG38" s="231"/>
      <c r="AH38" s="231"/>
      <c r="AI38" s="231"/>
      <c r="AJ38" s="231"/>
      <c r="AK38" s="231"/>
      <c r="AL38" s="231"/>
      <c r="AM38" s="231"/>
      <c r="AN38" s="231"/>
      <c r="AO38" s="10">
        <f>SUM(AF38:AN38)</f>
        <v>0</v>
      </c>
      <c r="AP38" s="231">
        <v>0</v>
      </c>
      <c r="AQ38" s="231"/>
      <c r="AR38" s="231"/>
      <c r="AS38" s="231"/>
      <c r="AT38" s="231"/>
      <c r="AU38" s="231"/>
      <c r="AV38" s="231"/>
      <c r="AW38" s="231"/>
      <c r="AX38" s="231"/>
      <c r="AY38" s="10">
        <f>SUM(AP38:AX38)</f>
        <v>0</v>
      </c>
      <c r="AZ38" s="10">
        <f t="shared" si="18"/>
        <v>0</v>
      </c>
      <c r="BA38" s="10">
        <f t="shared" si="19"/>
        <v>0</v>
      </c>
      <c r="BB38" s="10">
        <f t="shared" si="20"/>
        <v>0</v>
      </c>
      <c r="BC38" s="10">
        <f t="shared" si="21"/>
        <v>0</v>
      </c>
      <c r="BD38" s="10">
        <f t="shared" si="22"/>
        <v>0</v>
      </c>
    </row>
    <row r="39" spans="1:67" s="13" customFormat="1" ht="16.5" customHeight="1" x14ac:dyDescent="0.2">
      <c r="A39" s="39" t="s">
        <v>164</v>
      </c>
      <c r="B39" s="234">
        <v>500</v>
      </c>
      <c r="C39" s="234"/>
      <c r="D39" s="234"/>
      <c r="E39" s="234"/>
      <c r="F39" s="234"/>
      <c r="G39" s="234"/>
      <c r="H39" s="234"/>
      <c r="I39" s="234"/>
      <c r="J39" s="234"/>
      <c r="K39" s="13">
        <f>SUM(B39:J39)</f>
        <v>500</v>
      </c>
      <c r="L39" s="234">
        <v>485</v>
      </c>
      <c r="M39" s="234"/>
      <c r="N39" s="234"/>
      <c r="O39" s="234"/>
      <c r="P39" s="234"/>
      <c r="Q39" s="234"/>
      <c r="R39" s="234"/>
      <c r="S39" s="234"/>
      <c r="T39" s="234"/>
      <c r="U39" s="13">
        <f>SUM(L39:T39)</f>
        <v>485</v>
      </c>
      <c r="V39" s="234">
        <v>498</v>
      </c>
      <c r="W39" s="234"/>
      <c r="X39" s="234"/>
      <c r="Y39" s="234"/>
      <c r="Z39" s="234"/>
      <c r="AA39" s="234"/>
      <c r="AB39" s="234"/>
      <c r="AC39" s="234"/>
      <c r="AD39" s="234"/>
      <c r="AE39" s="13">
        <f>SUM(V39:AD39)</f>
        <v>498</v>
      </c>
      <c r="AF39" s="234">
        <v>510</v>
      </c>
      <c r="AG39" s="234"/>
      <c r="AH39" s="234"/>
      <c r="AI39" s="234"/>
      <c r="AJ39" s="234"/>
      <c r="AK39" s="234"/>
      <c r="AL39" s="234"/>
      <c r="AM39" s="234"/>
      <c r="AN39" s="234"/>
      <c r="AO39" s="13">
        <f>SUM(AF39:AN39)</f>
        <v>510</v>
      </c>
      <c r="AP39" s="234">
        <v>540</v>
      </c>
      <c r="AQ39" s="234"/>
      <c r="AR39" s="234"/>
      <c r="AS39" s="234"/>
      <c r="AT39" s="234"/>
      <c r="AU39" s="234"/>
      <c r="AV39" s="234"/>
      <c r="AW39" s="234"/>
      <c r="AX39" s="234"/>
      <c r="AY39" s="13">
        <f>SUM(AP39:AX39)</f>
        <v>540</v>
      </c>
      <c r="AZ39" s="13">
        <f t="shared" si="18"/>
        <v>500</v>
      </c>
      <c r="BA39" s="10">
        <f>U39</f>
        <v>485</v>
      </c>
      <c r="BB39" s="10">
        <f>AE39</f>
        <v>498</v>
      </c>
      <c r="BC39" s="10">
        <f>AO39</f>
        <v>510</v>
      </c>
      <c r="BD39" s="10">
        <f>AY39</f>
        <v>540</v>
      </c>
      <c r="BE39" s="88"/>
      <c r="BF39" s="88"/>
      <c r="BG39" s="88"/>
      <c r="BH39" s="88"/>
      <c r="BI39" s="88"/>
      <c r="BJ39" s="88"/>
      <c r="BK39" s="88"/>
      <c r="BL39" s="88"/>
      <c r="BM39" s="88"/>
      <c r="BN39" s="88"/>
      <c r="BO39" s="88"/>
    </row>
    <row r="40" spans="1:67" s="13" customFormat="1" ht="16.5" customHeight="1" x14ac:dyDescent="0.2">
      <c r="A40" s="39" t="s">
        <v>396</v>
      </c>
      <c r="B40" s="234">
        <v>319</v>
      </c>
      <c r="C40" s="234"/>
      <c r="D40" s="234">
        <v>170</v>
      </c>
      <c r="E40" s="234"/>
      <c r="F40" s="234"/>
      <c r="G40" s="234"/>
      <c r="H40" s="234"/>
      <c r="I40" s="234"/>
      <c r="J40" s="234"/>
      <c r="K40" s="13">
        <f>SUM(B40:J40)</f>
        <v>489</v>
      </c>
      <c r="L40" s="234">
        <v>341</v>
      </c>
      <c r="M40" s="234"/>
      <c r="N40" s="234">
        <v>472</v>
      </c>
      <c r="O40" s="234"/>
      <c r="P40" s="234"/>
      <c r="Q40" s="234"/>
      <c r="R40" s="234"/>
      <c r="S40" s="234"/>
      <c r="T40" s="234"/>
      <c r="U40" s="13">
        <f>SUM(L40:T40)</f>
        <v>813</v>
      </c>
      <c r="V40" s="234">
        <v>349</v>
      </c>
      <c r="W40" s="234"/>
      <c r="X40" s="234">
        <v>675</v>
      </c>
      <c r="Y40" s="234"/>
      <c r="Z40" s="234"/>
      <c r="AA40" s="234"/>
      <c r="AB40" s="234"/>
      <c r="AC40" s="234"/>
      <c r="AD40" s="234"/>
      <c r="AE40" s="13">
        <f>SUM(V40:AD40)</f>
        <v>1024</v>
      </c>
      <c r="AF40" s="234">
        <v>372</v>
      </c>
      <c r="AG40" s="234"/>
      <c r="AH40" s="234">
        <v>283</v>
      </c>
      <c r="AI40" s="234"/>
      <c r="AJ40" s="234"/>
      <c r="AK40" s="234"/>
      <c r="AL40" s="234"/>
      <c r="AM40" s="234"/>
      <c r="AN40" s="234"/>
      <c r="AO40" s="13">
        <f>SUM(AF40:AN40)</f>
        <v>655</v>
      </c>
      <c r="AP40" s="234">
        <v>581</v>
      </c>
      <c r="AQ40" s="234"/>
      <c r="AR40" s="234">
        <v>319</v>
      </c>
      <c r="AS40" s="234"/>
      <c r="AT40" s="234"/>
      <c r="AU40" s="234"/>
      <c r="AV40" s="234"/>
      <c r="AW40" s="234"/>
      <c r="AX40" s="234"/>
      <c r="AY40" s="13">
        <f>SUM(AP40:AX40)</f>
        <v>900</v>
      </c>
      <c r="AZ40" s="13">
        <f t="shared" si="18"/>
        <v>489</v>
      </c>
      <c r="BA40" s="13">
        <f t="shared" si="19"/>
        <v>813</v>
      </c>
      <c r="BB40" s="13">
        <f t="shared" si="20"/>
        <v>1024</v>
      </c>
      <c r="BC40" s="13">
        <f t="shared" si="21"/>
        <v>655</v>
      </c>
      <c r="BD40" s="13">
        <f t="shared" si="22"/>
        <v>900</v>
      </c>
      <c r="BE40" s="88"/>
      <c r="BF40" s="88"/>
      <c r="BG40" s="88"/>
      <c r="BH40" s="88"/>
      <c r="BI40" s="88"/>
      <c r="BJ40" s="88"/>
      <c r="BK40" s="88"/>
      <c r="BL40" s="88"/>
      <c r="BM40" s="88"/>
      <c r="BN40" s="88"/>
      <c r="BO40" s="88"/>
    </row>
    <row r="41" spans="1:67" s="14" customFormat="1" ht="16.5" customHeight="1" x14ac:dyDescent="0.2">
      <c r="A41" s="115" t="s">
        <v>206</v>
      </c>
      <c r="B41" s="14">
        <f>SUM(B36:B40)</f>
        <v>3960</v>
      </c>
      <c r="C41" s="14">
        <f t="shared" ref="C41:K41" si="25">SUM(C36:C40)</f>
        <v>766</v>
      </c>
      <c r="D41" s="14">
        <f t="shared" si="25"/>
        <v>170</v>
      </c>
      <c r="E41" s="14">
        <f t="shared" si="25"/>
        <v>0</v>
      </c>
      <c r="F41" s="14">
        <f t="shared" si="25"/>
        <v>0</v>
      </c>
      <c r="G41" s="14">
        <f t="shared" si="25"/>
        <v>0</v>
      </c>
      <c r="H41" s="14">
        <f t="shared" si="25"/>
        <v>0</v>
      </c>
      <c r="I41" s="14">
        <f t="shared" si="25"/>
        <v>0</v>
      </c>
      <c r="J41" s="14">
        <f t="shared" si="25"/>
        <v>0</v>
      </c>
      <c r="K41" s="14">
        <f t="shared" si="25"/>
        <v>4896</v>
      </c>
      <c r="L41" s="14">
        <f t="shared" ref="L41:AY41" si="26">SUM(L36:L40)</f>
        <v>3950</v>
      </c>
      <c r="M41" s="14">
        <f t="shared" si="26"/>
        <v>1173</v>
      </c>
      <c r="N41" s="14">
        <f t="shared" si="26"/>
        <v>472</v>
      </c>
      <c r="O41" s="14">
        <f t="shared" si="26"/>
        <v>0</v>
      </c>
      <c r="P41" s="14">
        <f t="shared" si="26"/>
        <v>0</v>
      </c>
      <c r="Q41" s="14">
        <f t="shared" si="26"/>
        <v>0</v>
      </c>
      <c r="R41" s="14">
        <f t="shared" si="26"/>
        <v>0</v>
      </c>
      <c r="S41" s="14">
        <f t="shared" si="26"/>
        <v>0</v>
      </c>
      <c r="T41" s="14">
        <f t="shared" si="26"/>
        <v>0</v>
      </c>
      <c r="U41" s="14">
        <f t="shared" si="26"/>
        <v>5595</v>
      </c>
      <c r="V41" s="14">
        <f t="shared" si="26"/>
        <v>3953</v>
      </c>
      <c r="W41" s="14">
        <f t="shared" si="26"/>
        <v>1457</v>
      </c>
      <c r="X41" s="14">
        <f t="shared" si="26"/>
        <v>675</v>
      </c>
      <c r="Y41" s="14">
        <f t="shared" si="26"/>
        <v>0</v>
      </c>
      <c r="Z41" s="14">
        <f t="shared" si="26"/>
        <v>0</v>
      </c>
      <c r="AA41" s="14">
        <f t="shared" si="26"/>
        <v>0</v>
      </c>
      <c r="AB41" s="14">
        <f t="shared" si="26"/>
        <v>0</v>
      </c>
      <c r="AC41" s="14">
        <f t="shared" si="26"/>
        <v>0</v>
      </c>
      <c r="AD41" s="14">
        <f t="shared" si="26"/>
        <v>0</v>
      </c>
      <c r="AE41" s="14">
        <f t="shared" si="26"/>
        <v>6085</v>
      </c>
      <c r="AF41" s="14">
        <f t="shared" si="26"/>
        <v>4005</v>
      </c>
      <c r="AG41" s="14">
        <f t="shared" si="26"/>
        <v>1696</v>
      </c>
      <c r="AH41" s="14">
        <f t="shared" si="26"/>
        <v>283</v>
      </c>
      <c r="AI41" s="14">
        <f t="shared" si="26"/>
        <v>0</v>
      </c>
      <c r="AJ41" s="14">
        <f t="shared" si="26"/>
        <v>0</v>
      </c>
      <c r="AK41" s="14">
        <f t="shared" si="26"/>
        <v>0</v>
      </c>
      <c r="AL41" s="14">
        <f t="shared" si="26"/>
        <v>0</v>
      </c>
      <c r="AM41" s="14">
        <f t="shared" si="26"/>
        <v>0</v>
      </c>
      <c r="AN41" s="14">
        <f t="shared" si="26"/>
        <v>0</v>
      </c>
      <c r="AO41" s="14">
        <f t="shared" si="26"/>
        <v>5984</v>
      </c>
      <c r="AP41" s="14">
        <f t="shared" si="26"/>
        <v>3916</v>
      </c>
      <c r="AQ41" s="14">
        <f t="shared" si="26"/>
        <v>2054</v>
      </c>
      <c r="AR41" s="14">
        <f t="shared" si="26"/>
        <v>319</v>
      </c>
      <c r="AS41" s="14">
        <f t="shared" si="26"/>
        <v>0</v>
      </c>
      <c r="AT41" s="14">
        <f t="shared" si="26"/>
        <v>0</v>
      </c>
      <c r="AU41" s="14">
        <f t="shared" si="26"/>
        <v>0</v>
      </c>
      <c r="AV41" s="14">
        <f t="shared" si="26"/>
        <v>0</v>
      </c>
      <c r="AW41" s="14">
        <f t="shared" si="26"/>
        <v>0</v>
      </c>
      <c r="AX41" s="14">
        <f t="shared" si="26"/>
        <v>0</v>
      </c>
      <c r="AY41" s="14">
        <f t="shared" si="26"/>
        <v>6289</v>
      </c>
      <c r="AZ41" s="14">
        <f t="shared" si="18"/>
        <v>4896</v>
      </c>
      <c r="BA41" s="14">
        <f t="shared" si="19"/>
        <v>5595</v>
      </c>
      <c r="BB41" s="14">
        <f t="shared" si="20"/>
        <v>6085</v>
      </c>
      <c r="BC41" s="14">
        <f t="shared" si="21"/>
        <v>5984</v>
      </c>
      <c r="BD41" s="14">
        <f t="shared" si="22"/>
        <v>6289</v>
      </c>
      <c r="BE41" s="165"/>
      <c r="BF41" s="165"/>
      <c r="BG41" s="165"/>
      <c r="BH41" s="165"/>
      <c r="BI41" s="165"/>
      <c r="BJ41" s="165"/>
      <c r="BK41" s="165"/>
      <c r="BL41" s="165"/>
      <c r="BM41" s="165"/>
      <c r="BN41" s="165"/>
      <c r="BO41" s="165"/>
    </row>
    <row r="42" spans="1:67" s="15" customFormat="1" ht="16.5" customHeight="1" x14ac:dyDescent="0.2">
      <c r="A42" s="15" t="s">
        <v>46</v>
      </c>
      <c r="B42" s="15">
        <f>B35+B41</f>
        <v>6535</v>
      </c>
      <c r="C42" s="15">
        <f t="shared" ref="C42:K42" si="27">C35+C41</f>
        <v>851</v>
      </c>
      <c r="D42" s="15">
        <f t="shared" si="27"/>
        <v>1443</v>
      </c>
      <c r="E42" s="15">
        <f t="shared" si="27"/>
        <v>0</v>
      </c>
      <c r="F42" s="15">
        <f t="shared" si="27"/>
        <v>0</v>
      </c>
      <c r="G42" s="15">
        <f t="shared" si="27"/>
        <v>0</v>
      </c>
      <c r="H42" s="15">
        <f t="shared" si="27"/>
        <v>0</v>
      </c>
      <c r="I42" s="15">
        <f t="shared" si="27"/>
        <v>0</v>
      </c>
      <c r="J42" s="15">
        <f t="shared" si="27"/>
        <v>0</v>
      </c>
      <c r="K42" s="15">
        <f t="shared" si="27"/>
        <v>8829</v>
      </c>
      <c r="L42" s="15">
        <f t="shared" ref="L42:AY42" si="28">L35+L41</f>
        <v>6176</v>
      </c>
      <c r="M42" s="15">
        <f t="shared" si="28"/>
        <v>1270</v>
      </c>
      <c r="N42" s="15">
        <f t="shared" si="28"/>
        <v>1901</v>
      </c>
      <c r="O42" s="15">
        <f t="shared" si="28"/>
        <v>0</v>
      </c>
      <c r="P42" s="15">
        <f t="shared" si="28"/>
        <v>0</v>
      </c>
      <c r="Q42" s="15">
        <f t="shared" si="28"/>
        <v>0</v>
      </c>
      <c r="R42" s="15">
        <f t="shared" si="28"/>
        <v>0</v>
      </c>
      <c r="S42" s="15">
        <f t="shared" si="28"/>
        <v>0</v>
      </c>
      <c r="T42" s="15">
        <f t="shared" si="28"/>
        <v>0</v>
      </c>
      <c r="U42" s="15">
        <f t="shared" si="28"/>
        <v>9347</v>
      </c>
      <c r="V42" s="15">
        <f t="shared" si="28"/>
        <v>6494</v>
      </c>
      <c r="W42" s="15">
        <f t="shared" si="28"/>
        <v>1565</v>
      </c>
      <c r="X42" s="15">
        <f t="shared" si="28"/>
        <v>2125</v>
      </c>
      <c r="Y42" s="15">
        <f t="shared" si="28"/>
        <v>0</v>
      </c>
      <c r="Z42" s="15">
        <f t="shared" si="28"/>
        <v>0</v>
      </c>
      <c r="AA42" s="15">
        <f t="shared" si="28"/>
        <v>0</v>
      </c>
      <c r="AB42" s="15">
        <f t="shared" si="28"/>
        <v>0</v>
      </c>
      <c r="AC42" s="15">
        <f t="shared" si="28"/>
        <v>0</v>
      </c>
      <c r="AD42" s="15">
        <f t="shared" si="28"/>
        <v>0</v>
      </c>
      <c r="AE42" s="15">
        <f t="shared" si="28"/>
        <v>10184</v>
      </c>
      <c r="AF42" s="15">
        <f t="shared" si="28"/>
        <v>6805</v>
      </c>
      <c r="AG42" s="15">
        <f t="shared" si="28"/>
        <v>1826</v>
      </c>
      <c r="AH42" s="15">
        <f t="shared" si="28"/>
        <v>2092</v>
      </c>
      <c r="AI42" s="15">
        <f t="shared" si="28"/>
        <v>0</v>
      </c>
      <c r="AJ42" s="15">
        <f t="shared" si="28"/>
        <v>0</v>
      </c>
      <c r="AK42" s="15">
        <f t="shared" si="28"/>
        <v>0</v>
      </c>
      <c r="AL42" s="15">
        <f t="shared" si="28"/>
        <v>0</v>
      </c>
      <c r="AM42" s="15">
        <f t="shared" si="28"/>
        <v>0</v>
      </c>
      <c r="AN42" s="15">
        <f t="shared" si="28"/>
        <v>0</v>
      </c>
      <c r="AO42" s="15">
        <f t="shared" si="28"/>
        <v>10723</v>
      </c>
      <c r="AP42" s="15">
        <f t="shared" si="28"/>
        <v>6827</v>
      </c>
      <c r="AQ42" s="15">
        <f t="shared" si="28"/>
        <v>2210</v>
      </c>
      <c r="AR42" s="15">
        <f t="shared" si="28"/>
        <v>2010</v>
      </c>
      <c r="AS42" s="15">
        <f t="shared" si="28"/>
        <v>0</v>
      </c>
      <c r="AT42" s="15">
        <f t="shared" si="28"/>
        <v>0</v>
      </c>
      <c r="AU42" s="15">
        <f t="shared" si="28"/>
        <v>0</v>
      </c>
      <c r="AV42" s="15">
        <f t="shared" si="28"/>
        <v>0</v>
      </c>
      <c r="AW42" s="15">
        <f t="shared" si="28"/>
        <v>0</v>
      </c>
      <c r="AX42" s="15">
        <f t="shared" si="28"/>
        <v>0</v>
      </c>
      <c r="AY42" s="15">
        <f t="shared" si="28"/>
        <v>11047</v>
      </c>
      <c r="AZ42" s="15">
        <f t="shared" si="18"/>
        <v>8829</v>
      </c>
      <c r="BA42" s="15">
        <f t="shared" si="19"/>
        <v>9347</v>
      </c>
      <c r="BB42" s="15">
        <f t="shared" si="20"/>
        <v>10184</v>
      </c>
      <c r="BC42" s="15">
        <f t="shared" si="21"/>
        <v>10723</v>
      </c>
      <c r="BD42" s="15">
        <f t="shared" si="22"/>
        <v>11047</v>
      </c>
      <c r="BE42" s="195"/>
      <c r="BF42" s="195"/>
      <c r="BG42" s="195"/>
      <c r="BH42" s="195"/>
      <c r="BI42" s="195"/>
      <c r="BJ42" s="195"/>
      <c r="BK42" s="195"/>
      <c r="BL42" s="195"/>
      <c r="BM42" s="195"/>
      <c r="BN42" s="195"/>
      <c r="BO42" s="195"/>
    </row>
    <row r="43" spans="1:67" s="82" customFormat="1" ht="6" customHeight="1" x14ac:dyDescent="0.2">
      <c r="AZ43" s="88">
        <f t="shared" si="18"/>
        <v>0</v>
      </c>
      <c r="BA43" s="88">
        <f t="shared" si="19"/>
        <v>0</v>
      </c>
      <c r="BB43" s="88">
        <f t="shared" si="20"/>
        <v>0</v>
      </c>
      <c r="BC43" s="88">
        <f t="shared" si="21"/>
        <v>0</v>
      </c>
      <c r="BD43" s="88">
        <f t="shared" si="22"/>
        <v>0</v>
      </c>
    </row>
    <row r="44" spans="1:67" s="15" customFormat="1" ht="16.5" customHeight="1" x14ac:dyDescent="0.2">
      <c r="A44" s="33" t="s">
        <v>293</v>
      </c>
      <c r="B44" s="233">
        <v>0</v>
      </c>
      <c r="C44" s="233"/>
      <c r="D44" s="233"/>
      <c r="E44" s="233"/>
      <c r="F44" s="233"/>
      <c r="G44" s="233"/>
      <c r="H44" s="233"/>
      <c r="I44" s="233"/>
      <c r="J44" s="233"/>
      <c r="K44" s="15">
        <f t="shared" ref="K44:K52" si="29">SUM(B44:J44)</f>
        <v>0</v>
      </c>
      <c r="L44" s="233">
        <v>0</v>
      </c>
      <c r="M44" s="233"/>
      <c r="N44" s="233"/>
      <c r="O44" s="233"/>
      <c r="P44" s="233"/>
      <c r="Q44" s="233"/>
      <c r="R44" s="233"/>
      <c r="S44" s="233"/>
      <c r="T44" s="233"/>
      <c r="U44" s="15">
        <f t="shared" ref="U44:U52" si="30">SUM(L44:T44)</f>
        <v>0</v>
      </c>
      <c r="V44" s="233">
        <v>0</v>
      </c>
      <c r="W44" s="233"/>
      <c r="X44" s="233"/>
      <c r="Y44" s="233"/>
      <c r="Z44" s="233"/>
      <c r="AA44" s="233"/>
      <c r="AB44" s="233"/>
      <c r="AC44" s="233"/>
      <c r="AD44" s="233"/>
      <c r="AE44" s="15">
        <f t="shared" ref="AE44:AE52" si="31">SUM(V44:AD44)</f>
        <v>0</v>
      </c>
      <c r="AF44" s="233"/>
      <c r="AG44" s="233"/>
      <c r="AH44" s="233"/>
      <c r="AI44" s="233"/>
      <c r="AJ44" s="233"/>
      <c r="AK44" s="233"/>
      <c r="AL44" s="233"/>
      <c r="AM44" s="233"/>
      <c r="AN44" s="233"/>
      <c r="AO44" s="15">
        <f t="shared" ref="AO44:AO52" si="32">SUM(AF44:AN44)</f>
        <v>0</v>
      </c>
      <c r="AP44" s="233">
        <v>0</v>
      </c>
      <c r="AQ44" s="233"/>
      <c r="AR44" s="233"/>
      <c r="AS44" s="233"/>
      <c r="AT44" s="233"/>
      <c r="AU44" s="233"/>
      <c r="AV44" s="233"/>
      <c r="AW44" s="233"/>
      <c r="AX44" s="233"/>
      <c r="AY44" s="15">
        <f t="shared" ref="AY44:AY52" si="33">SUM(AP44:AX44)</f>
        <v>0</v>
      </c>
      <c r="AZ44" s="15">
        <f t="shared" si="18"/>
        <v>0</v>
      </c>
      <c r="BA44" s="15">
        <f t="shared" si="19"/>
        <v>0</v>
      </c>
      <c r="BB44" s="15">
        <f t="shared" si="20"/>
        <v>0</v>
      </c>
      <c r="BC44" s="15">
        <f t="shared" si="21"/>
        <v>0</v>
      </c>
      <c r="BD44" s="15">
        <f t="shared" si="22"/>
        <v>0</v>
      </c>
      <c r="BE44" s="195"/>
      <c r="BF44" s="195"/>
      <c r="BG44" s="195"/>
      <c r="BH44" s="195"/>
      <c r="BI44" s="195"/>
      <c r="BJ44" s="195"/>
      <c r="BK44" s="195"/>
      <c r="BL44" s="195"/>
      <c r="BM44" s="195"/>
      <c r="BN44" s="195"/>
      <c r="BO44" s="195"/>
    </row>
    <row r="45" spans="1:67" ht="16.5" customHeight="1" x14ac:dyDescent="0.2">
      <c r="A45" s="31" t="s">
        <v>134</v>
      </c>
      <c r="B45" s="231">
        <v>0</v>
      </c>
      <c r="C45" s="231"/>
      <c r="D45" s="231"/>
      <c r="E45" s="231"/>
      <c r="F45" s="231"/>
      <c r="G45" s="231"/>
      <c r="H45" s="231"/>
      <c r="I45" s="231"/>
      <c r="J45" s="231"/>
      <c r="K45" s="10">
        <f t="shared" si="29"/>
        <v>0</v>
      </c>
      <c r="L45" s="231">
        <v>0</v>
      </c>
      <c r="M45" s="231"/>
      <c r="N45" s="231"/>
      <c r="O45" s="231"/>
      <c r="P45" s="231"/>
      <c r="Q45" s="231"/>
      <c r="R45" s="231"/>
      <c r="S45" s="231"/>
      <c r="T45" s="231"/>
      <c r="U45" s="10">
        <f t="shared" si="30"/>
        <v>0</v>
      </c>
      <c r="V45" s="231">
        <v>0</v>
      </c>
      <c r="W45" s="231"/>
      <c r="X45" s="231"/>
      <c r="Y45" s="231"/>
      <c r="Z45" s="231"/>
      <c r="AA45" s="231"/>
      <c r="AB45" s="231"/>
      <c r="AC45" s="231"/>
      <c r="AD45" s="231"/>
      <c r="AE45" s="10">
        <f t="shared" si="31"/>
        <v>0</v>
      </c>
      <c r="AF45" s="231"/>
      <c r="AG45" s="231"/>
      <c r="AH45" s="231"/>
      <c r="AI45" s="231"/>
      <c r="AJ45" s="231"/>
      <c r="AK45" s="231"/>
      <c r="AL45" s="231"/>
      <c r="AM45" s="231"/>
      <c r="AN45" s="231"/>
      <c r="AO45" s="10">
        <f t="shared" si="32"/>
        <v>0</v>
      </c>
      <c r="AP45" s="231">
        <v>0</v>
      </c>
      <c r="AQ45" s="231"/>
      <c r="AR45" s="231"/>
      <c r="AS45" s="231"/>
      <c r="AT45" s="231"/>
      <c r="AU45" s="231"/>
      <c r="AV45" s="231"/>
      <c r="AW45" s="231"/>
      <c r="AX45" s="231"/>
      <c r="AY45" s="10">
        <f t="shared" si="33"/>
        <v>0</v>
      </c>
      <c r="AZ45" s="10">
        <f t="shared" si="18"/>
        <v>0</v>
      </c>
      <c r="BA45" s="10">
        <f t="shared" si="19"/>
        <v>0</v>
      </c>
      <c r="BB45" s="10">
        <f t="shared" si="20"/>
        <v>0</v>
      </c>
      <c r="BC45" s="10">
        <f t="shared" si="21"/>
        <v>0</v>
      </c>
      <c r="BD45" s="10">
        <f t="shared" si="22"/>
        <v>0</v>
      </c>
    </row>
    <row r="46" spans="1:67" ht="16.5" customHeight="1" x14ac:dyDescent="0.2">
      <c r="A46" s="31" t="s">
        <v>165</v>
      </c>
      <c r="B46" s="231">
        <v>1484</v>
      </c>
      <c r="C46" s="231"/>
      <c r="D46" s="231"/>
      <c r="E46" s="231"/>
      <c r="F46" s="231"/>
      <c r="G46" s="231"/>
      <c r="H46" s="231"/>
      <c r="I46" s="231"/>
      <c r="J46" s="231"/>
      <c r="K46" s="10">
        <f t="shared" si="29"/>
        <v>1484</v>
      </c>
      <c r="L46" s="231">
        <v>1645</v>
      </c>
      <c r="M46" s="231"/>
      <c r="N46" s="231"/>
      <c r="O46" s="231"/>
      <c r="P46" s="231"/>
      <c r="Q46" s="231"/>
      <c r="R46" s="231"/>
      <c r="S46" s="231"/>
      <c r="T46" s="231"/>
      <c r="U46" s="10">
        <f t="shared" si="30"/>
        <v>1645</v>
      </c>
      <c r="V46" s="231">
        <v>1827</v>
      </c>
      <c r="W46" s="231"/>
      <c r="X46" s="231"/>
      <c r="Y46" s="231"/>
      <c r="Z46" s="231"/>
      <c r="AA46" s="231"/>
      <c r="AB46" s="231"/>
      <c r="AC46" s="231"/>
      <c r="AD46" s="231"/>
      <c r="AE46" s="10">
        <f t="shared" si="31"/>
        <v>1827</v>
      </c>
      <c r="AF46" s="231">
        <v>2338</v>
      </c>
      <c r="AG46" s="231"/>
      <c r="AH46" s="231"/>
      <c r="AI46" s="231"/>
      <c r="AJ46" s="231"/>
      <c r="AK46" s="231"/>
      <c r="AL46" s="231"/>
      <c r="AM46" s="231"/>
      <c r="AN46" s="231"/>
      <c r="AO46" s="10">
        <f t="shared" si="32"/>
        <v>2338</v>
      </c>
      <c r="AP46" s="231">
        <v>2539</v>
      </c>
      <c r="AQ46" s="231"/>
      <c r="AR46" s="231"/>
      <c r="AS46" s="231"/>
      <c r="AT46" s="231"/>
      <c r="AU46" s="231"/>
      <c r="AV46" s="231"/>
      <c r="AW46" s="231"/>
      <c r="AX46" s="231"/>
      <c r="AY46" s="10">
        <f t="shared" si="33"/>
        <v>2539</v>
      </c>
      <c r="AZ46" s="10">
        <f t="shared" si="18"/>
        <v>1484</v>
      </c>
      <c r="BA46" s="10">
        <f t="shared" si="19"/>
        <v>1645</v>
      </c>
      <c r="BB46" s="10">
        <f t="shared" si="20"/>
        <v>1827</v>
      </c>
      <c r="BC46" s="10">
        <f t="shared" si="21"/>
        <v>2338</v>
      </c>
      <c r="BD46" s="10">
        <f t="shared" si="22"/>
        <v>2539</v>
      </c>
    </row>
    <row r="47" spans="1:67" ht="16.5" customHeight="1" x14ac:dyDescent="0.2">
      <c r="A47" s="10" t="s">
        <v>133</v>
      </c>
      <c r="B47" s="231">
        <v>0</v>
      </c>
      <c r="C47" s="231"/>
      <c r="D47" s="231"/>
      <c r="E47" s="231"/>
      <c r="F47" s="231"/>
      <c r="G47" s="231"/>
      <c r="H47" s="231"/>
      <c r="I47" s="231"/>
      <c r="J47" s="231"/>
      <c r="K47" s="10">
        <f t="shared" si="29"/>
        <v>0</v>
      </c>
      <c r="L47" s="231">
        <v>0</v>
      </c>
      <c r="M47" s="231"/>
      <c r="N47" s="231"/>
      <c r="O47" s="231"/>
      <c r="P47" s="231"/>
      <c r="Q47" s="231"/>
      <c r="R47" s="231"/>
      <c r="S47" s="231"/>
      <c r="T47" s="231"/>
      <c r="U47" s="10">
        <f t="shared" si="30"/>
        <v>0</v>
      </c>
      <c r="V47" s="231">
        <v>0</v>
      </c>
      <c r="W47" s="231"/>
      <c r="X47" s="231"/>
      <c r="Y47" s="231"/>
      <c r="Z47" s="231"/>
      <c r="AA47" s="231"/>
      <c r="AB47" s="231"/>
      <c r="AC47" s="231"/>
      <c r="AD47" s="231"/>
      <c r="AE47" s="10">
        <f t="shared" si="31"/>
        <v>0</v>
      </c>
      <c r="AF47" s="231"/>
      <c r="AG47" s="231"/>
      <c r="AH47" s="231"/>
      <c r="AI47" s="231"/>
      <c r="AJ47" s="231"/>
      <c r="AK47" s="231"/>
      <c r="AL47" s="231"/>
      <c r="AM47" s="231"/>
      <c r="AN47" s="231"/>
      <c r="AO47" s="10">
        <f t="shared" si="32"/>
        <v>0</v>
      </c>
      <c r="AP47" s="231">
        <v>0</v>
      </c>
      <c r="AQ47" s="231"/>
      <c r="AR47" s="231"/>
      <c r="AS47" s="231"/>
      <c r="AT47" s="231"/>
      <c r="AU47" s="231"/>
      <c r="AV47" s="231"/>
      <c r="AW47" s="231"/>
      <c r="AX47" s="231"/>
      <c r="AY47" s="10">
        <f t="shared" si="33"/>
        <v>0</v>
      </c>
      <c r="AZ47" s="10">
        <f t="shared" si="18"/>
        <v>0</v>
      </c>
      <c r="BA47" s="10">
        <f t="shared" si="19"/>
        <v>0</v>
      </c>
      <c r="BB47" s="10">
        <f t="shared" si="20"/>
        <v>0</v>
      </c>
      <c r="BC47" s="10">
        <f t="shared" si="21"/>
        <v>0</v>
      </c>
      <c r="BD47" s="10">
        <f t="shared" si="22"/>
        <v>0</v>
      </c>
    </row>
    <row r="48" spans="1:67" ht="16.5" customHeight="1" x14ac:dyDescent="0.2">
      <c r="A48" s="10" t="s">
        <v>132</v>
      </c>
      <c r="B48" s="231">
        <v>0</v>
      </c>
      <c r="C48" s="231"/>
      <c r="D48" s="231"/>
      <c r="E48" s="231"/>
      <c r="F48" s="231"/>
      <c r="G48" s="231"/>
      <c r="H48" s="231"/>
      <c r="I48" s="231"/>
      <c r="J48" s="231"/>
      <c r="K48" s="10">
        <f t="shared" si="29"/>
        <v>0</v>
      </c>
      <c r="L48" s="231">
        <v>0</v>
      </c>
      <c r="M48" s="231"/>
      <c r="N48" s="231"/>
      <c r="O48" s="231"/>
      <c r="P48" s="231"/>
      <c r="Q48" s="231"/>
      <c r="R48" s="231"/>
      <c r="S48" s="231"/>
      <c r="T48" s="231"/>
      <c r="U48" s="10">
        <f t="shared" si="30"/>
        <v>0</v>
      </c>
      <c r="V48" s="231">
        <v>0</v>
      </c>
      <c r="W48" s="231"/>
      <c r="X48" s="231"/>
      <c r="Y48" s="231"/>
      <c r="Z48" s="231"/>
      <c r="AA48" s="231"/>
      <c r="AB48" s="231"/>
      <c r="AC48" s="231"/>
      <c r="AD48" s="231"/>
      <c r="AE48" s="10">
        <f t="shared" si="31"/>
        <v>0</v>
      </c>
      <c r="AF48" s="231"/>
      <c r="AG48" s="231"/>
      <c r="AH48" s="231"/>
      <c r="AI48" s="231"/>
      <c r="AJ48" s="231"/>
      <c r="AK48" s="231"/>
      <c r="AL48" s="231"/>
      <c r="AM48" s="231"/>
      <c r="AN48" s="231"/>
      <c r="AO48" s="10">
        <f t="shared" si="32"/>
        <v>0</v>
      </c>
      <c r="AP48" s="231">
        <v>0</v>
      </c>
      <c r="AQ48" s="231"/>
      <c r="AR48" s="231"/>
      <c r="AS48" s="231"/>
      <c r="AT48" s="231"/>
      <c r="AU48" s="231"/>
      <c r="AV48" s="231"/>
      <c r="AW48" s="231"/>
      <c r="AX48" s="231"/>
      <c r="AY48" s="10">
        <f t="shared" si="33"/>
        <v>0</v>
      </c>
      <c r="AZ48" s="10">
        <f t="shared" si="18"/>
        <v>0</v>
      </c>
      <c r="BA48" s="10">
        <f t="shared" si="19"/>
        <v>0</v>
      </c>
      <c r="BB48" s="10">
        <f t="shared" si="20"/>
        <v>0</v>
      </c>
      <c r="BC48" s="10">
        <f t="shared" si="21"/>
        <v>0</v>
      </c>
      <c r="BD48" s="10">
        <f t="shared" si="22"/>
        <v>0</v>
      </c>
    </row>
    <row r="49" spans="1:67" ht="16.5" customHeight="1" x14ac:dyDescent="0.2">
      <c r="A49" s="31" t="s">
        <v>295</v>
      </c>
      <c r="B49" s="231">
        <v>0</v>
      </c>
      <c r="C49" s="231"/>
      <c r="D49" s="231"/>
      <c r="E49" s="231"/>
      <c r="F49" s="231"/>
      <c r="G49" s="231"/>
      <c r="H49" s="231"/>
      <c r="I49" s="231"/>
      <c r="J49" s="231"/>
      <c r="K49" s="10">
        <f t="shared" si="29"/>
        <v>0</v>
      </c>
      <c r="L49" s="231">
        <v>0</v>
      </c>
      <c r="M49" s="231"/>
      <c r="N49" s="231"/>
      <c r="O49" s="231"/>
      <c r="P49" s="231"/>
      <c r="Q49" s="231"/>
      <c r="R49" s="231"/>
      <c r="S49" s="231"/>
      <c r="T49" s="231"/>
      <c r="U49" s="10">
        <f t="shared" si="30"/>
        <v>0</v>
      </c>
      <c r="V49" s="231">
        <v>0</v>
      </c>
      <c r="W49" s="231"/>
      <c r="X49" s="231"/>
      <c r="Y49" s="231"/>
      <c r="Z49" s="231"/>
      <c r="AA49" s="231"/>
      <c r="AB49" s="231"/>
      <c r="AC49" s="231"/>
      <c r="AD49" s="231"/>
      <c r="AE49" s="10">
        <f t="shared" si="31"/>
        <v>0</v>
      </c>
      <c r="AF49" s="231"/>
      <c r="AG49" s="231"/>
      <c r="AH49" s="231"/>
      <c r="AI49" s="231"/>
      <c r="AJ49" s="231"/>
      <c r="AK49" s="231"/>
      <c r="AL49" s="231"/>
      <c r="AM49" s="231"/>
      <c r="AN49" s="231"/>
      <c r="AO49" s="10">
        <f t="shared" si="32"/>
        <v>0</v>
      </c>
      <c r="AP49" s="231">
        <v>0</v>
      </c>
      <c r="AQ49" s="231"/>
      <c r="AR49" s="231"/>
      <c r="AS49" s="231"/>
      <c r="AT49" s="231"/>
      <c r="AU49" s="231"/>
      <c r="AV49" s="231"/>
      <c r="AW49" s="231"/>
      <c r="AX49" s="231"/>
      <c r="AY49" s="10">
        <f t="shared" si="33"/>
        <v>0</v>
      </c>
      <c r="AZ49" s="10">
        <f t="shared" si="18"/>
        <v>0</v>
      </c>
      <c r="BA49" s="10">
        <f>U49</f>
        <v>0</v>
      </c>
      <c r="BB49" s="10">
        <f>AE49</f>
        <v>0</v>
      </c>
      <c r="BC49" s="10">
        <f>AO49</f>
        <v>0</v>
      </c>
      <c r="BD49" s="10">
        <f>AY49</f>
        <v>0</v>
      </c>
    </row>
    <row r="50" spans="1:67" ht="16.5" customHeight="1" x14ac:dyDescent="0.2">
      <c r="A50" s="10" t="s">
        <v>71</v>
      </c>
      <c r="B50" s="231">
        <v>517</v>
      </c>
      <c r="C50" s="231"/>
      <c r="D50" s="231"/>
      <c r="E50" s="231"/>
      <c r="F50" s="231"/>
      <c r="G50" s="231"/>
      <c r="H50" s="231"/>
      <c r="I50" s="231"/>
      <c r="J50" s="231"/>
      <c r="K50" s="10">
        <f t="shared" si="29"/>
        <v>517</v>
      </c>
      <c r="L50" s="231">
        <v>315</v>
      </c>
      <c r="M50" s="231"/>
      <c r="N50" s="231"/>
      <c r="O50" s="231"/>
      <c r="P50" s="231"/>
      <c r="Q50" s="231"/>
      <c r="R50" s="231"/>
      <c r="S50" s="231"/>
      <c r="T50" s="231"/>
      <c r="U50" s="10">
        <f t="shared" si="30"/>
        <v>315</v>
      </c>
      <c r="V50" s="231">
        <v>292</v>
      </c>
      <c r="W50" s="231"/>
      <c r="X50" s="231"/>
      <c r="Y50" s="231"/>
      <c r="Z50" s="231"/>
      <c r="AA50" s="231"/>
      <c r="AB50" s="231"/>
      <c r="AC50" s="231"/>
      <c r="AD50" s="231"/>
      <c r="AE50" s="10">
        <f t="shared" si="31"/>
        <v>292</v>
      </c>
      <c r="AF50" s="231">
        <v>166</v>
      </c>
      <c r="AG50" s="231"/>
      <c r="AH50" s="231"/>
      <c r="AI50" s="231"/>
      <c r="AJ50" s="231"/>
      <c r="AK50" s="231"/>
      <c r="AL50" s="231"/>
      <c r="AM50" s="231"/>
      <c r="AN50" s="231"/>
      <c r="AO50" s="10">
        <f t="shared" si="32"/>
        <v>166</v>
      </c>
      <c r="AP50" s="231">
        <v>-1610</v>
      </c>
      <c r="AQ50" s="231"/>
      <c r="AR50" s="231"/>
      <c r="AS50" s="231"/>
      <c r="AT50" s="231"/>
      <c r="AU50" s="231"/>
      <c r="AV50" s="231"/>
      <c r="AW50" s="231"/>
      <c r="AX50" s="231"/>
      <c r="AY50" s="10">
        <f t="shared" si="33"/>
        <v>-1610</v>
      </c>
      <c r="AZ50" s="10">
        <f t="shared" si="18"/>
        <v>517</v>
      </c>
      <c r="BA50" s="10">
        <f>U50</f>
        <v>315</v>
      </c>
      <c r="BB50" s="10">
        <f>AE50</f>
        <v>292</v>
      </c>
      <c r="BC50" s="10">
        <f>AO50</f>
        <v>166</v>
      </c>
      <c r="BD50" s="10">
        <f>AY50</f>
        <v>-1610</v>
      </c>
    </row>
    <row r="51" spans="1:67" s="13" customFormat="1" ht="16.5" customHeight="1" x14ac:dyDescent="0.2">
      <c r="A51" s="39" t="s">
        <v>296</v>
      </c>
      <c r="B51" s="234">
        <v>0</v>
      </c>
      <c r="C51" s="234"/>
      <c r="D51" s="234"/>
      <c r="E51" s="234"/>
      <c r="F51" s="234"/>
      <c r="G51" s="234"/>
      <c r="H51" s="234"/>
      <c r="I51" s="234"/>
      <c r="J51" s="234"/>
      <c r="K51" s="10">
        <f t="shared" si="29"/>
        <v>0</v>
      </c>
      <c r="L51" s="234">
        <v>0</v>
      </c>
      <c r="M51" s="234"/>
      <c r="N51" s="234"/>
      <c r="O51" s="234"/>
      <c r="P51" s="234"/>
      <c r="Q51" s="234"/>
      <c r="R51" s="234"/>
      <c r="S51" s="234"/>
      <c r="T51" s="234"/>
      <c r="U51" s="10">
        <f t="shared" si="30"/>
        <v>0</v>
      </c>
      <c r="V51" s="234">
        <v>0</v>
      </c>
      <c r="W51" s="234"/>
      <c r="X51" s="234"/>
      <c r="Y51" s="234"/>
      <c r="Z51" s="234"/>
      <c r="AA51" s="234"/>
      <c r="AB51" s="234"/>
      <c r="AC51" s="234"/>
      <c r="AD51" s="234"/>
      <c r="AE51" s="10">
        <f t="shared" si="31"/>
        <v>0</v>
      </c>
      <c r="AF51" s="234"/>
      <c r="AG51" s="234"/>
      <c r="AH51" s="234"/>
      <c r="AI51" s="234"/>
      <c r="AJ51" s="234"/>
      <c r="AK51" s="234"/>
      <c r="AL51" s="234"/>
      <c r="AM51" s="234"/>
      <c r="AN51" s="234"/>
      <c r="AO51" s="10">
        <f t="shared" si="32"/>
        <v>0</v>
      </c>
      <c r="AP51" s="234">
        <v>0</v>
      </c>
      <c r="AQ51" s="234"/>
      <c r="AR51" s="234"/>
      <c r="AS51" s="234"/>
      <c r="AT51" s="234"/>
      <c r="AU51" s="234"/>
      <c r="AV51" s="234"/>
      <c r="AW51" s="234"/>
      <c r="AX51" s="234"/>
      <c r="AY51" s="10">
        <f t="shared" si="33"/>
        <v>0</v>
      </c>
      <c r="AZ51" s="10">
        <f t="shared" si="18"/>
        <v>0</v>
      </c>
      <c r="BA51" s="10">
        <f>U51</f>
        <v>0</v>
      </c>
      <c r="BB51" s="10">
        <f>AE51</f>
        <v>0</v>
      </c>
      <c r="BC51" s="10">
        <f>AO51</f>
        <v>0</v>
      </c>
      <c r="BD51" s="10">
        <f>AY51</f>
        <v>0</v>
      </c>
      <c r="BE51" s="88"/>
      <c r="BF51" s="88"/>
      <c r="BG51" s="88"/>
      <c r="BH51" s="88"/>
      <c r="BI51" s="88"/>
      <c r="BJ51" s="88"/>
      <c r="BK51" s="88"/>
      <c r="BL51" s="88"/>
      <c r="BM51" s="88"/>
      <c r="BN51" s="88"/>
      <c r="BO51" s="88"/>
    </row>
    <row r="52" spans="1:67" s="13" customFormat="1" ht="16.5" customHeight="1" x14ac:dyDescent="0.2">
      <c r="A52" s="39" t="s">
        <v>294</v>
      </c>
      <c r="B52" s="234">
        <v>-45</v>
      </c>
      <c r="C52" s="234"/>
      <c r="D52" s="234"/>
      <c r="E52" s="234"/>
      <c r="F52" s="234"/>
      <c r="G52" s="234"/>
      <c r="H52" s="234"/>
      <c r="I52" s="234"/>
      <c r="J52" s="234"/>
      <c r="K52" s="13">
        <f t="shared" si="29"/>
        <v>-45</v>
      </c>
      <c r="L52" s="234">
        <v>-47</v>
      </c>
      <c r="M52" s="234"/>
      <c r="N52" s="234"/>
      <c r="O52" s="234"/>
      <c r="P52" s="234"/>
      <c r="Q52" s="234"/>
      <c r="R52" s="234"/>
      <c r="S52" s="234"/>
      <c r="T52" s="234"/>
      <c r="U52" s="13">
        <f t="shared" si="30"/>
        <v>-47</v>
      </c>
      <c r="V52" s="234">
        <v>-39</v>
      </c>
      <c r="W52" s="234"/>
      <c r="X52" s="234"/>
      <c r="Y52" s="234"/>
      <c r="Z52" s="234"/>
      <c r="AA52" s="234"/>
      <c r="AB52" s="234"/>
      <c r="AC52" s="234"/>
      <c r="AD52" s="234"/>
      <c r="AE52" s="13">
        <f t="shared" si="31"/>
        <v>-39</v>
      </c>
      <c r="AF52" s="234">
        <v>-64</v>
      </c>
      <c r="AG52" s="234"/>
      <c r="AH52" s="234"/>
      <c r="AI52" s="234"/>
      <c r="AJ52" s="234"/>
      <c r="AK52" s="234"/>
      <c r="AL52" s="234"/>
      <c r="AM52" s="234"/>
      <c r="AN52" s="234"/>
      <c r="AO52" s="13">
        <f t="shared" si="32"/>
        <v>-64</v>
      </c>
      <c r="AP52" s="234">
        <v>-58</v>
      </c>
      <c r="AQ52" s="234"/>
      <c r="AR52" s="234"/>
      <c r="AS52" s="234"/>
      <c r="AT52" s="234"/>
      <c r="AU52" s="234"/>
      <c r="AV52" s="234"/>
      <c r="AW52" s="234"/>
      <c r="AX52" s="234"/>
      <c r="AY52" s="13">
        <f t="shared" si="33"/>
        <v>-58</v>
      </c>
      <c r="AZ52" s="13">
        <f t="shared" si="18"/>
        <v>-45</v>
      </c>
      <c r="BA52" s="13">
        <f t="shared" si="19"/>
        <v>-47</v>
      </c>
      <c r="BB52" s="13">
        <f t="shared" si="20"/>
        <v>-39</v>
      </c>
      <c r="BC52" s="13">
        <f t="shared" si="21"/>
        <v>-64</v>
      </c>
      <c r="BD52" s="13">
        <f t="shared" si="22"/>
        <v>-58</v>
      </c>
      <c r="BE52" s="88"/>
      <c r="BF52" s="88"/>
      <c r="BG52" s="88"/>
      <c r="BH52" s="88"/>
      <c r="BI52" s="88"/>
      <c r="BJ52" s="88"/>
      <c r="BK52" s="88"/>
      <c r="BL52" s="88"/>
      <c r="BM52" s="88"/>
      <c r="BN52" s="88"/>
      <c r="BO52" s="88"/>
    </row>
    <row r="53" spans="1:67" s="14" customFormat="1" ht="16.5" customHeight="1" x14ac:dyDescent="0.2">
      <c r="A53" s="115" t="s">
        <v>339</v>
      </c>
      <c r="B53" s="14">
        <f>SUM(B44:B52)</f>
        <v>1956</v>
      </c>
      <c r="C53" s="14">
        <f t="shared" ref="C53:K53" si="34">SUM(C44:C52)</f>
        <v>0</v>
      </c>
      <c r="D53" s="14">
        <f t="shared" si="34"/>
        <v>0</v>
      </c>
      <c r="E53" s="14">
        <f t="shared" si="34"/>
        <v>0</v>
      </c>
      <c r="F53" s="14">
        <f t="shared" si="34"/>
        <v>0</v>
      </c>
      <c r="G53" s="14">
        <f t="shared" si="34"/>
        <v>0</v>
      </c>
      <c r="H53" s="14">
        <f t="shared" si="34"/>
        <v>0</v>
      </c>
      <c r="I53" s="14">
        <f t="shared" si="34"/>
        <v>0</v>
      </c>
      <c r="J53" s="14">
        <f t="shared" si="34"/>
        <v>0</v>
      </c>
      <c r="K53" s="14">
        <f t="shared" si="34"/>
        <v>1956</v>
      </c>
      <c r="L53" s="14">
        <f t="shared" ref="L53:AY53" si="35">SUM(L44:L52)</f>
        <v>1913</v>
      </c>
      <c r="M53" s="14">
        <f t="shared" si="35"/>
        <v>0</v>
      </c>
      <c r="N53" s="14">
        <f t="shared" si="35"/>
        <v>0</v>
      </c>
      <c r="O53" s="14">
        <f t="shared" si="35"/>
        <v>0</v>
      </c>
      <c r="P53" s="14">
        <f t="shared" si="35"/>
        <v>0</v>
      </c>
      <c r="Q53" s="14">
        <f t="shared" si="35"/>
        <v>0</v>
      </c>
      <c r="R53" s="14">
        <f t="shared" si="35"/>
        <v>0</v>
      </c>
      <c r="S53" s="14">
        <f t="shared" si="35"/>
        <v>0</v>
      </c>
      <c r="T53" s="14">
        <f t="shared" si="35"/>
        <v>0</v>
      </c>
      <c r="U53" s="14">
        <f t="shared" si="35"/>
        <v>1913</v>
      </c>
      <c r="V53" s="14">
        <f t="shared" si="35"/>
        <v>2080</v>
      </c>
      <c r="W53" s="14">
        <f t="shared" si="35"/>
        <v>0</v>
      </c>
      <c r="X53" s="14">
        <f t="shared" si="35"/>
        <v>0</v>
      </c>
      <c r="Y53" s="14">
        <f t="shared" si="35"/>
        <v>0</v>
      </c>
      <c r="Z53" s="14">
        <f t="shared" si="35"/>
        <v>0</v>
      </c>
      <c r="AA53" s="14">
        <f t="shared" si="35"/>
        <v>0</v>
      </c>
      <c r="AB53" s="14">
        <f t="shared" si="35"/>
        <v>0</v>
      </c>
      <c r="AC53" s="14">
        <f t="shared" si="35"/>
        <v>0</v>
      </c>
      <c r="AD53" s="14">
        <f t="shared" si="35"/>
        <v>0</v>
      </c>
      <c r="AE53" s="14">
        <f t="shared" si="35"/>
        <v>2080</v>
      </c>
      <c r="AF53" s="14">
        <f t="shared" si="35"/>
        <v>2440</v>
      </c>
      <c r="AG53" s="14">
        <f t="shared" si="35"/>
        <v>0</v>
      </c>
      <c r="AH53" s="14">
        <f t="shared" si="35"/>
        <v>0</v>
      </c>
      <c r="AI53" s="14">
        <f t="shared" si="35"/>
        <v>0</v>
      </c>
      <c r="AJ53" s="14">
        <f t="shared" si="35"/>
        <v>0</v>
      </c>
      <c r="AK53" s="14">
        <f t="shared" si="35"/>
        <v>0</v>
      </c>
      <c r="AL53" s="14">
        <f t="shared" si="35"/>
        <v>0</v>
      </c>
      <c r="AM53" s="14">
        <f t="shared" si="35"/>
        <v>0</v>
      </c>
      <c r="AN53" s="14">
        <f t="shared" si="35"/>
        <v>0</v>
      </c>
      <c r="AO53" s="14">
        <f t="shared" si="35"/>
        <v>2440</v>
      </c>
      <c r="AP53" s="14">
        <f t="shared" si="35"/>
        <v>871</v>
      </c>
      <c r="AQ53" s="14">
        <f t="shared" si="35"/>
        <v>0</v>
      </c>
      <c r="AR53" s="14">
        <f t="shared" si="35"/>
        <v>0</v>
      </c>
      <c r="AS53" s="14">
        <f t="shared" si="35"/>
        <v>0</v>
      </c>
      <c r="AT53" s="14">
        <f t="shared" si="35"/>
        <v>0</v>
      </c>
      <c r="AU53" s="14">
        <f t="shared" si="35"/>
        <v>0</v>
      </c>
      <c r="AV53" s="14">
        <f t="shared" si="35"/>
        <v>0</v>
      </c>
      <c r="AW53" s="14">
        <f t="shared" si="35"/>
        <v>0</v>
      </c>
      <c r="AX53" s="14">
        <f t="shared" si="35"/>
        <v>0</v>
      </c>
      <c r="AY53" s="14">
        <f t="shared" si="35"/>
        <v>871</v>
      </c>
      <c r="AZ53" s="14">
        <f t="shared" si="18"/>
        <v>1956</v>
      </c>
      <c r="BA53" s="14">
        <f t="shared" si="19"/>
        <v>1913</v>
      </c>
      <c r="BB53" s="14">
        <f t="shared" si="20"/>
        <v>2080</v>
      </c>
      <c r="BC53" s="14">
        <f t="shared" si="21"/>
        <v>2440</v>
      </c>
      <c r="BD53" s="14">
        <f t="shared" si="22"/>
        <v>871</v>
      </c>
      <c r="BE53" s="165"/>
      <c r="BF53" s="165"/>
      <c r="BG53" s="165"/>
      <c r="BH53" s="165"/>
      <c r="BI53" s="165"/>
      <c r="BJ53" s="165"/>
      <c r="BK53" s="165"/>
      <c r="BL53" s="165"/>
      <c r="BM53" s="165"/>
      <c r="BN53" s="165"/>
      <c r="BO53" s="165"/>
    </row>
    <row r="54" spans="1:67" s="16" customFormat="1" ht="16.5" customHeight="1" thickBot="1" x14ac:dyDescent="0.25">
      <c r="A54" s="37" t="s">
        <v>343</v>
      </c>
      <c r="B54" s="17">
        <f t="shared" ref="B54:AG54" si="36">B42+B53</f>
        <v>8491</v>
      </c>
      <c r="C54" s="16">
        <f t="shared" si="36"/>
        <v>851</v>
      </c>
      <c r="D54" s="16">
        <f t="shared" si="36"/>
        <v>1443</v>
      </c>
      <c r="E54" s="16">
        <f t="shared" si="36"/>
        <v>0</v>
      </c>
      <c r="F54" s="16">
        <f t="shared" si="36"/>
        <v>0</v>
      </c>
      <c r="G54" s="16">
        <f t="shared" si="36"/>
        <v>0</v>
      </c>
      <c r="H54" s="16">
        <f t="shared" si="36"/>
        <v>0</v>
      </c>
      <c r="I54" s="16">
        <f t="shared" si="36"/>
        <v>0</v>
      </c>
      <c r="J54" s="16">
        <f t="shared" si="36"/>
        <v>0</v>
      </c>
      <c r="K54" s="17">
        <f t="shared" si="36"/>
        <v>10785</v>
      </c>
      <c r="L54" s="17">
        <f t="shared" si="36"/>
        <v>8089</v>
      </c>
      <c r="M54" s="16">
        <f t="shared" si="36"/>
        <v>1270</v>
      </c>
      <c r="N54" s="16">
        <f t="shared" si="36"/>
        <v>1901</v>
      </c>
      <c r="O54" s="16">
        <f t="shared" si="36"/>
        <v>0</v>
      </c>
      <c r="P54" s="16">
        <f t="shared" si="36"/>
        <v>0</v>
      </c>
      <c r="Q54" s="16">
        <f t="shared" si="36"/>
        <v>0</v>
      </c>
      <c r="R54" s="16">
        <f t="shared" si="36"/>
        <v>0</v>
      </c>
      <c r="S54" s="16">
        <f t="shared" si="36"/>
        <v>0</v>
      </c>
      <c r="T54" s="16">
        <f t="shared" si="36"/>
        <v>0</v>
      </c>
      <c r="U54" s="17">
        <f t="shared" si="36"/>
        <v>11260</v>
      </c>
      <c r="V54" s="17">
        <f t="shared" si="36"/>
        <v>8574</v>
      </c>
      <c r="W54" s="16">
        <f t="shared" si="36"/>
        <v>1565</v>
      </c>
      <c r="X54" s="16">
        <f t="shared" si="36"/>
        <v>2125</v>
      </c>
      <c r="Y54" s="16">
        <f t="shared" si="36"/>
        <v>0</v>
      </c>
      <c r="Z54" s="16">
        <f t="shared" si="36"/>
        <v>0</v>
      </c>
      <c r="AA54" s="16">
        <f t="shared" si="36"/>
        <v>0</v>
      </c>
      <c r="AB54" s="16">
        <f t="shared" si="36"/>
        <v>0</v>
      </c>
      <c r="AC54" s="16">
        <f t="shared" si="36"/>
        <v>0</v>
      </c>
      <c r="AD54" s="16">
        <f t="shared" si="36"/>
        <v>0</v>
      </c>
      <c r="AE54" s="17">
        <f t="shared" si="36"/>
        <v>12264</v>
      </c>
      <c r="AF54" s="17">
        <f t="shared" si="36"/>
        <v>9245</v>
      </c>
      <c r="AG54" s="16">
        <f t="shared" si="36"/>
        <v>1826</v>
      </c>
      <c r="AH54" s="16">
        <f t="shared" ref="AH54:AY54" si="37">AH42+AH53</f>
        <v>2092</v>
      </c>
      <c r="AI54" s="16">
        <f t="shared" si="37"/>
        <v>0</v>
      </c>
      <c r="AJ54" s="16">
        <f t="shared" si="37"/>
        <v>0</v>
      </c>
      <c r="AK54" s="16">
        <f t="shared" si="37"/>
        <v>0</v>
      </c>
      <c r="AL54" s="16">
        <f t="shared" si="37"/>
        <v>0</v>
      </c>
      <c r="AM54" s="16">
        <f t="shared" si="37"/>
        <v>0</v>
      </c>
      <c r="AN54" s="16">
        <f t="shared" si="37"/>
        <v>0</v>
      </c>
      <c r="AO54" s="17">
        <f t="shared" si="37"/>
        <v>13163</v>
      </c>
      <c r="AP54" s="17">
        <f t="shared" si="37"/>
        <v>7698</v>
      </c>
      <c r="AQ54" s="16">
        <f t="shared" si="37"/>
        <v>2210</v>
      </c>
      <c r="AR54" s="16">
        <f t="shared" si="37"/>
        <v>2010</v>
      </c>
      <c r="AS54" s="16">
        <f t="shared" si="37"/>
        <v>0</v>
      </c>
      <c r="AT54" s="16">
        <f t="shared" si="37"/>
        <v>0</v>
      </c>
      <c r="AU54" s="16">
        <f t="shared" si="37"/>
        <v>0</v>
      </c>
      <c r="AV54" s="16">
        <f t="shared" si="37"/>
        <v>0</v>
      </c>
      <c r="AW54" s="16">
        <f t="shared" si="37"/>
        <v>0</v>
      </c>
      <c r="AX54" s="16">
        <f t="shared" si="37"/>
        <v>0</v>
      </c>
      <c r="AY54" s="17">
        <f t="shared" si="37"/>
        <v>11918</v>
      </c>
      <c r="AZ54" s="16">
        <f t="shared" si="18"/>
        <v>10785</v>
      </c>
      <c r="BA54" s="16">
        <f t="shared" si="19"/>
        <v>11260</v>
      </c>
      <c r="BB54" s="16">
        <f t="shared" si="20"/>
        <v>12264</v>
      </c>
      <c r="BC54" s="16">
        <f t="shared" si="21"/>
        <v>13163</v>
      </c>
      <c r="BD54" s="16">
        <f t="shared" si="22"/>
        <v>11918</v>
      </c>
      <c r="BE54" s="198"/>
      <c r="BF54" s="198"/>
      <c r="BG54" s="198"/>
      <c r="BH54" s="198"/>
      <c r="BI54" s="198"/>
      <c r="BJ54" s="198"/>
      <c r="BK54" s="198"/>
      <c r="BL54" s="198"/>
      <c r="BM54" s="198"/>
      <c r="BN54" s="198"/>
      <c r="BO54" s="198"/>
    </row>
    <row r="55" spans="1:67" s="195" customFormat="1" ht="16.5" customHeight="1" x14ac:dyDescent="0.2"/>
    <row r="56" spans="1:67" s="31" customFormat="1" ht="16.5" customHeight="1" x14ac:dyDescent="0.2">
      <c r="A56" s="116" t="s">
        <v>166</v>
      </c>
      <c r="B56" s="31">
        <f>B23-B54</f>
        <v>0</v>
      </c>
      <c r="C56" s="31">
        <f t="shared" ref="C56:K56" si="38">C23-C54</f>
        <v>0</v>
      </c>
      <c r="D56" s="31">
        <f t="shared" si="38"/>
        <v>0</v>
      </c>
      <c r="E56" s="31">
        <f t="shared" si="38"/>
        <v>0</v>
      </c>
      <c r="F56" s="31">
        <f t="shared" si="38"/>
        <v>0</v>
      </c>
      <c r="G56" s="31">
        <f t="shared" si="38"/>
        <v>0</v>
      </c>
      <c r="H56" s="31">
        <f>H23-H54</f>
        <v>0</v>
      </c>
      <c r="I56" s="31">
        <f>I23-I54</f>
        <v>0</v>
      </c>
      <c r="J56" s="31">
        <f t="shared" si="38"/>
        <v>0</v>
      </c>
      <c r="K56" s="31">
        <f t="shared" si="38"/>
        <v>0</v>
      </c>
      <c r="L56" s="31">
        <f t="shared" ref="L56:S56" si="39">L23-L54</f>
        <v>0</v>
      </c>
      <c r="M56" s="31">
        <f t="shared" si="39"/>
        <v>0</v>
      </c>
      <c r="N56" s="31">
        <f t="shared" si="39"/>
        <v>0</v>
      </c>
      <c r="O56" s="31">
        <f t="shared" si="39"/>
        <v>0</v>
      </c>
      <c r="P56" s="31">
        <f t="shared" si="39"/>
        <v>0</v>
      </c>
      <c r="Q56" s="31">
        <f t="shared" si="39"/>
        <v>0</v>
      </c>
      <c r="R56" s="31">
        <f t="shared" si="39"/>
        <v>0</v>
      </c>
      <c r="S56" s="31">
        <f t="shared" si="39"/>
        <v>0</v>
      </c>
      <c r="T56" s="31">
        <f t="shared" ref="T56:AC56" si="40">T23-T54</f>
        <v>0</v>
      </c>
      <c r="U56" s="31">
        <f t="shared" si="40"/>
        <v>0</v>
      </c>
      <c r="V56" s="31">
        <f t="shared" si="40"/>
        <v>0</v>
      </c>
      <c r="W56" s="31">
        <f t="shared" si="40"/>
        <v>0</v>
      </c>
      <c r="X56" s="31">
        <f t="shared" si="40"/>
        <v>0</v>
      </c>
      <c r="Y56" s="31">
        <f t="shared" si="40"/>
        <v>0</v>
      </c>
      <c r="Z56" s="31">
        <f t="shared" si="40"/>
        <v>0</v>
      </c>
      <c r="AA56" s="31">
        <f t="shared" si="40"/>
        <v>0</v>
      </c>
      <c r="AB56" s="31">
        <f t="shared" si="40"/>
        <v>0</v>
      </c>
      <c r="AC56" s="31">
        <f t="shared" si="40"/>
        <v>0</v>
      </c>
      <c r="AD56" s="31">
        <f t="shared" ref="AD56:AM56" si="41">AD23-AD54</f>
        <v>0</v>
      </c>
      <c r="AE56" s="31">
        <f t="shared" si="41"/>
        <v>0</v>
      </c>
      <c r="AF56" s="31">
        <f t="shared" si="41"/>
        <v>0</v>
      </c>
      <c r="AG56" s="31">
        <f t="shared" si="41"/>
        <v>0</v>
      </c>
      <c r="AH56" s="31">
        <f t="shared" si="41"/>
        <v>0</v>
      </c>
      <c r="AI56" s="31">
        <f t="shared" si="41"/>
        <v>0</v>
      </c>
      <c r="AJ56" s="31">
        <f t="shared" si="41"/>
        <v>0</v>
      </c>
      <c r="AK56" s="31">
        <f t="shared" si="41"/>
        <v>0</v>
      </c>
      <c r="AL56" s="31">
        <f t="shared" si="41"/>
        <v>0</v>
      </c>
      <c r="AM56" s="31">
        <f t="shared" si="41"/>
        <v>0</v>
      </c>
      <c r="AN56" s="31">
        <f t="shared" ref="AN56:AW56" si="42">AN23-AN54</f>
        <v>0</v>
      </c>
      <c r="AO56" s="31">
        <f t="shared" si="42"/>
        <v>0</v>
      </c>
      <c r="AP56" s="31">
        <f t="shared" si="42"/>
        <v>0</v>
      </c>
      <c r="AQ56" s="31">
        <f t="shared" si="42"/>
        <v>0</v>
      </c>
      <c r="AR56" s="31">
        <f t="shared" si="42"/>
        <v>0</v>
      </c>
      <c r="AS56" s="31">
        <f t="shared" si="42"/>
        <v>0</v>
      </c>
      <c r="AT56" s="31">
        <f t="shared" si="42"/>
        <v>0</v>
      </c>
      <c r="AU56" s="31">
        <f t="shared" si="42"/>
        <v>0</v>
      </c>
      <c r="AV56" s="31">
        <f t="shared" si="42"/>
        <v>0</v>
      </c>
      <c r="AW56" s="31">
        <f t="shared" si="42"/>
        <v>0</v>
      </c>
      <c r="AX56" s="31">
        <f t="shared" ref="AX56:BD56" si="43">AX23-AX54</f>
        <v>0</v>
      </c>
      <c r="AY56" s="31">
        <f t="shared" si="43"/>
        <v>0</v>
      </c>
      <c r="AZ56" s="31">
        <f t="shared" si="43"/>
        <v>0</v>
      </c>
      <c r="BA56" s="31">
        <f t="shared" si="43"/>
        <v>0</v>
      </c>
      <c r="BB56" s="31">
        <f t="shared" si="43"/>
        <v>0</v>
      </c>
      <c r="BC56" s="31">
        <f t="shared" si="43"/>
        <v>0</v>
      </c>
      <c r="BD56" s="31">
        <f t="shared" si="43"/>
        <v>0</v>
      </c>
    </row>
    <row r="57" spans="1:67" s="88" customFormat="1" ht="7.5" customHeight="1" x14ac:dyDescent="0.2">
      <c r="A57" s="610"/>
    </row>
    <row r="58" spans="1:67" s="195" customFormat="1" ht="16.5" customHeight="1" x14ac:dyDescent="0.2">
      <c r="A58" s="117" t="s">
        <v>167</v>
      </c>
    </row>
    <row r="59" spans="1:67" ht="16.5" customHeight="1" x14ac:dyDescent="0.2">
      <c r="A59" s="549" t="s">
        <v>595</v>
      </c>
      <c r="B59" s="231"/>
      <c r="C59" s="231"/>
      <c r="D59" s="231"/>
      <c r="E59" s="231"/>
      <c r="F59" s="231"/>
      <c r="G59" s="231"/>
      <c r="H59" s="231"/>
      <c r="I59" s="231"/>
      <c r="J59" s="231"/>
    </row>
    <row r="60" spans="1:67" ht="16.5" customHeight="1" x14ac:dyDescent="0.2">
      <c r="A60" s="549" t="s">
        <v>596</v>
      </c>
      <c r="B60" s="231"/>
      <c r="C60" s="231"/>
      <c r="D60" s="231"/>
      <c r="E60" s="231"/>
      <c r="F60" s="231"/>
      <c r="G60" s="231"/>
      <c r="H60" s="231"/>
      <c r="I60" s="231"/>
      <c r="J60" s="231"/>
    </row>
    <row r="61" spans="1:67" ht="16.5" customHeight="1" x14ac:dyDescent="0.2">
      <c r="A61" s="1279" t="s">
        <v>1</v>
      </c>
      <c r="B61" s="231"/>
      <c r="C61" s="231"/>
      <c r="D61" s="231"/>
      <c r="E61" s="231"/>
      <c r="F61" s="231"/>
      <c r="G61" s="231"/>
      <c r="H61" s="231"/>
      <c r="I61" s="231"/>
      <c r="J61" s="231"/>
    </row>
    <row r="62" spans="1:67" ht="16.5" customHeight="1" x14ac:dyDescent="0.2">
      <c r="A62" s="549" t="s">
        <v>7</v>
      </c>
      <c r="B62" s="231"/>
      <c r="C62" s="231"/>
      <c r="D62" s="231"/>
      <c r="E62" s="231"/>
      <c r="F62" s="231"/>
      <c r="G62" s="231"/>
      <c r="H62" s="231"/>
      <c r="I62" s="231"/>
      <c r="J62" s="231"/>
    </row>
    <row r="63" spans="1:67" ht="16.5" customHeight="1" x14ac:dyDescent="0.2">
      <c r="A63" s="549" t="s">
        <v>29</v>
      </c>
      <c r="B63" s="231"/>
      <c r="C63" s="231"/>
      <c r="D63" s="231"/>
      <c r="E63" s="231"/>
      <c r="F63" s="231"/>
      <c r="G63" s="231"/>
      <c r="H63" s="231"/>
      <c r="I63" s="231"/>
      <c r="J63" s="231"/>
    </row>
    <row r="64" spans="1:67" ht="16.5" customHeight="1" x14ac:dyDescent="0.2">
      <c r="A64" s="549" t="s">
        <v>8</v>
      </c>
      <c r="B64" s="231"/>
      <c r="C64" s="231"/>
      <c r="D64" s="231"/>
      <c r="E64" s="231"/>
      <c r="F64" s="231"/>
      <c r="G64" s="231"/>
      <c r="H64" s="231"/>
      <c r="I64" s="231"/>
      <c r="J64" s="231"/>
    </row>
    <row r="65" spans="1:10" ht="16.5" customHeight="1" x14ac:dyDescent="0.2">
      <c r="A65" s="549" t="s">
        <v>597</v>
      </c>
      <c r="B65" s="231"/>
      <c r="C65" s="231"/>
      <c r="D65" s="231"/>
      <c r="E65" s="231"/>
      <c r="F65" s="231"/>
      <c r="G65" s="231"/>
      <c r="H65" s="231"/>
      <c r="I65" s="231"/>
      <c r="J65" s="231"/>
    </row>
    <row r="66" spans="1:10" ht="16.5" customHeight="1" x14ac:dyDescent="0.2">
      <c r="A66" s="549" t="s">
        <v>529</v>
      </c>
      <c r="B66" s="231"/>
      <c r="C66" s="231"/>
      <c r="D66" s="231"/>
      <c r="E66" s="231"/>
      <c r="F66" s="231"/>
      <c r="G66" s="231"/>
      <c r="H66" s="231"/>
      <c r="I66" s="231"/>
      <c r="J66" s="231"/>
    </row>
    <row r="67" spans="1:10" ht="16.5" customHeight="1" x14ac:dyDescent="0.2">
      <c r="A67" s="231"/>
      <c r="B67" s="231"/>
      <c r="C67" s="231"/>
      <c r="D67" s="231"/>
      <c r="E67" s="231"/>
      <c r="F67" s="231"/>
      <c r="G67" s="231"/>
      <c r="H67" s="231"/>
      <c r="I67" s="231"/>
      <c r="J67" s="231"/>
    </row>
    <row r="68" spans="1:10" ht="16.5" customHeight="1" x14ac:dyDescent="0.2">
      <c r="A68" s="231"/>
      <c r="B68" s="231"/>
      <c r="C68" s="231"/>
      <c r="D68" s="231"/>
      <c r="E68" s="231"/>
      <c r="F68" s="231"/>
      <c r="G68" s="231"/>
      <c r="H68" s="231"/>
      <c r="I68" s="231"/>
      <c r="J68" s="231"/>
    </row>
    <row r="69" spans="1:10" ht="16.5" customHeight="1" x14ac:dyDescent="0.2">
      <c r="A69" s="231"/>
      <c r="B69" s="231"/>
      <c r="C69" s="231"/>
      <c r="D69" s="231"/>
      <c r="E69" s="231"/>
      <c r="F69" s="231"/>
      <c r="G69" s="231"/>
      <c r="H69" s="231"/>
      <c r="I69" s="231"/>
      <c r="J69" s="231"/>
    </row>
    <row r="70" spans="1:10" ht="16.5" customHeight="1" x14ac:dyDescent="0.2">
      <c r="A70" s="231"/>
      <c r="B70" s="231"/>
      <c r="C70" s="231"/>
      <c r="D70" s="231"/>
      <c r="E70" s="231"/>
      <c r="F70" s="231"/>
      <c r="G70" s="231"/>
      <c r="H70" s="231"/>
      <c r="I70" s="231"/>
      <c r="J70" s="231"/>
    </row>
    <row r="71" spans="1:10" ht="16.5" customHeight="1" x14ac:dyDescent="0.2">
      <c r="B71" s="118"/>
      <c r="C71" s="31"/>
    </row>
    <row r="72" spans="1:10" ht="16.5" customHeight="1" x14ac:dyDescent="0.2">
      <c r="B72" s="118"/>
      <c r="C72" s="31"/>
    </row>
    <row r="73" spans="1:10" ht="16.5" customHeight="1" x14ac:dyDescent="0.2">
      <c r="B73" s="119"/>
      <c r="C73" s="31"/>
    </row>
  </sheetData>
  <phoneticPr fontId="8" type="noConversion"/>
  <printOptions horizontalCentered="1"/>
  <pageMargins left="0.15" right="0.15" top="0.5" bottom="0.25" header="0.25" footer="0.25"/>
  <pageSetup orientation="portrait" r:id="rId1"/>
  <headerFooter alignWithMargins="0"/>
  <rowBreaks count="1" manualBreakCount="1">
    <brk id="24" min="1" max="55" man="1"/>
  </rowBreaks>
  <colBreaks count="5" manualBreakCount="5">
    <brk id="11" max="65" man="1"/>
    <brk id="21" max="65" man="1"/>
    <brk id="31" max="65" man="1"/>
    <brk id="41" max="65" man="1"/>
    <brk id="51" max="65" man="1"/>
  </colBreaks>
  <ignoredErrors>
    <ignoredError sqref="K10 K18 K35 AY35 AO35 U18" formula="1"/>
    <ignoredError sqref="B10:J10 B14:J14" formulaRange="1"/>
  </ignoredErrors>
  <legacyDrawing r:id="rId2"/>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00"/>
  </sheetPr>
  <dimension ref="A1:BZ56"/>
  <sheetViews>
    <sheetView view="pageBreakPreview" zoomScaleSheetLayoutView="100" workbookViewId="0">
      <pane xSplit="1" ySplit="3" topLeftCell="B4" activePane="bottomRight" state="frozen"/>
      <selection pane="topRight" activeCell="B1" sqref="B1"/>
      <selection pane="bottomLeft" activeCell="A4" sqref="A4"/>
      <selection pane="bottomRight" activeCell="A9" sqref="A9"/>
    </sheetView>
  </sheetViews>
  <sheetFormatPr defaultColWidth="9.5703125" defaultRowHeight="16.5" customHeight="1" x14ac:dyDescent="0.2"/>
  <cols>
    <col min="1" max="1" width="36.5703125" style="10" customWidth="1"/>
    <col min="2" max="2" width="9.5703125" style="10"/>
    <col min="3" max="10" width="8.5703125" style="10" customWidth="1"/>
    <col min="11" max="12" width="9.5703125" style="10"/>
    <col min="13" max="20" width="8.5703125" style="10" customWidth="1"/>
    <col min="21" max="22" width="9.5703125" style="10"/>
    <col min="23" max="30" width="8.5703125" style="10" customWidth="1"/>
    <col min="31" max="32" width="9.5703125" style="10"/>
    <col min="33" max="40" width="8.5703125" style="10" customWidth="1"/>
    <col min="41" max="42" width="9.5703125" style="10"/>
    <col min="43" max="50" width="8.5703125" style="10" customWidth="1"/>
    <col min="51" max="56" width="9.5703125" style="10"/>
    <col min="57" max="63" width="8.5703125" style="87" customWidth="1"/>
    <col min="64" max="256" width="8.5703125" style="10" customWidth="1"/>
    <col min="257" max="16384" width="9.5703125" style="10"/>
  </cols>
  <sheetData>
    <row r="1" spans="1:78" s="245" customFormat="1" ht="21" customHeight="1" x14ac:dyDescent="0.2">
      <c r="A1" s="570" t="s">
        <v>610</v>
      </c>
      <c r="B1" s="619">
        <f>'BS Analysis Adjustments'!B1</f>
        <v>2011</v>
      </c>
      <c r="C1" s="614"/>
      <c r="D1" s="614"/>
      <c r="E1" s="614"/>
      <c r="F1" s="614"/>
      <c r="G1" s="614"/>
      <c r="H1" s="614"/>
      <c r="I1" s="614"/>
      <c r="J1" s="614"/>
      <c r="K1" s="615"/>
      <c r="L1" s="616">
        <f>B1+1</f>
        <v>2012</v>
      </c>
      <c r="M1" s="614"/>
      <c r="N1" s="614"/>
      <c r="O1" s="614"/>
      <c r="P1" s="614"/>
      <c r="Q1" s="614"/>
      <c r="R1" s="614"/>
      <c r="S1" s="614"/>
      <c r="T1" s="614"/>
      <c r="U1" s="617"/>
      <c r="V1" s="616">
        <f>L1+1</f>
        <v>2013</v>
      </c>
      <c r="W1" s="614"/>
      <c r="X1" s="614"/>
      <c r="Y1" s="614"/>
      <c r="Z1" s="614"/>
      <c r="AA1" s="614"/>
      <c r="AB1" s="614"/>
      <c r="AC1" s="614"/>
      <c r="AD1" s="614"/>
      <c r="AE1" s="617"/>
      <c r="AF1" s="616">
        <f>V1+1</f>
        <v>2014</v>
      </c>
      <c r="AG1" s="614"/>
      <c r="AH1" s="614"/>
      <c r="AI1" s="614"/>
      <c r="AJ1" s="614"/>
      <c r="AK1" s="614"/>
      <c r="AL1" s="614"/>
      <c r="AM1" s="614"/>
      <c r="AN1" s="614"/>
      <c r="AO1" s="617"/>
      <c r="AP1" s="616">
        <f>AF1+1</f>
        <v>2015</v>
      </c>
      <c r="AQ1" s="614"/>
      <c r="AR1" s="614"/>
      <c r="AS1" s="614"/>
      <c r="AT1" s="614"/>
      <c r="AU1" s="614"/>
      <c r="AV1" s="614"/>
      <c r="AW1" s="614"/>
      <c r="AX1" s="614"/>
      <c r="AY1" s="617"/>
      <c r="AZ1" s="569"/>
      <c r="BA1" s="569"/>
      <c r="BB1" s="569"/>
      <c r="BC1" s="569"/>
      <c r="BD1" s="569"/>
      <c r="BE1" s="245" t="s">
        <v>1075</v>
      </c>
      <c r="BF1" s="245" t="s">
        <v>1075</v>
      </c>
      <c r="BG1" s="245" t="s">
        <v>1075</v>
      </c>
      <c r="BH1" s="245" t="s">
        <v>1075</v>
      </c>
      <c r="BI1" s="245" t="s">
        <v>1075</v>
      </c>
      <c r="BJ1" s="245" t="s">
        <v>1075</v>
      </c>
      <c r="BK1" s="245" t="s">
        <v>1075</v>
      </c>
      <c r="BL1" s="245" t="s">
        <v>1075</v>
      </c>
      <c r="BM1" s="245" t="s">
        <v>1075</v>
      </c>
      <c r="BN1" s="245" t="s">
        <v>1075</v>
      </c>
      <c r="BO1" s="245" t="s">
        <v>1075</v>
      </c>
      <c r="BP1" s="245" t="s">
        <v>1075</v>
      </c>
      <c r="BQ1" s="245" t="s">
        <v>1075</v>
      </c>
      <c r="BR1" s="245" t="s">
        <v>1075</v>
      </c>
      <c r="BS1" s="245" t="s">
        <v>1075</v>
      </c>
      <c r="BT1" s="245" t="s">
        <v>1075</v>
      </c>
      <c r="BU1" s="245" t="s">
        <v>1075</v>
      </c>
      <c r="BV1" s="245" t="s">
        <v>1075</v>
      </c>
      <c r="BW1" s="245" t="s">
        <v>1075</v>
      </c>
      <c r="BX1" s="245" t="s">
        <v>1075</v>
      </c>
      <c r="BY1" s="245" t="s">
        <v>1075</v>
      </c>
      <c r="BZ1" s="245" t="s">
        <v>1075</v>
      </c>
    </row>
    <row r="2" spans="1:78" s="7" customFormat="1" ht="16.5" customHeight="1" x14ac:dyDescent="0.2">
      <c r="B2" s="46" t="s">
        <v>120</v>
      </c>
      <c r="C2" s="50" t="s">
        <v>39</v>
      </c>
      <c r="D2" s="50"/>
      <c r="E2" s="50"/>
      <c r="F2" s="50"/>
      <c r="G2" s="50"/>
      <c r="H2" s="50"/>
      <c r="I2" s="50"/>
      <c r="J2" s="50"/>
      <c r="K2" s="46" t="s">
        <v>122</v>
      </c>
      <c r="L2" s="46" t="s">
        <v>120</v>
      </c>
      <c r="M2" s="50" t="s">
        <v>39</v>
      </c>
      <c r="N2" s="50"/>
      <c r="O2" s="50"/>
      <c r="P2" s="50"/>
      <c r="Q2" s="50"/>
      <c r="R2" s="50"/>
      <c r="S2" s="50"/>
      <c r="T2" s="50"/>
      <c r="U2" s="46" t="s">
        <v>122</v>
      </c>
      <c r="V2" s="46" t="s">
        <v>120</v>
      </c>
      <c r="W2" s="50" t="s">
        <v>39</v>
      </c>
      <c r="X2" s="50"/>
      <c r="Y2" s="50"/>
      <c r="Z2" s="50"/>
      <c r="AA2" s="50"/>
      <c r="AB2" s="50"/>
      <c r="AC2" s="50"/>
      <c r="AD2" s="50"/>
      <c r="AE2" s="46" t="s">
        <v>122</v>
      </c>
      <c r="AF2" s="46" t="s">
        <v>120</v>
      </c>
      <c r="AG2" s="50" t="s">
        <v>39</v>
      </c>
      <c r="AH2" s="50"/>
      <c r="AI2" s="50"/>
      <c r="AJ2" s="50"/>
      <c r="AK2" s="50"/>
      <c r="AL2" s="50"/>
      <c r="AM2" s="50"/>
      <c r="AN2" s="50"/>
      <c r="AO2" s="46" t="s">
        <v>122</v>
      </c>
      <c r="AP2" s="46" t="s">
        <v>120</v>
      </c>
      <c r="AQ2" s="50" t="s">
        <v>39</v>
      </c>
      <c r="AR2" s="50"/>
      <c r="AS2" s="50"/>
      <c r="AT2" s="50"/>
      <c r="AU2" s="50"/>
      <c r="AV2" s="50"/>
      <c r="AW2" s="50"/>
      <c r="AX2" s="50"/>
      <c r="AY2" s="46" t="s">
        <v>122</v>
      </c>
      <c r="AZ2" s="50" t="s">
        <v>154</v>
      </c>
      <c r="BA2" s="50"/>
      <c r="BB2" s="50"/>
      <c r="BC2" s="50"/>
      <c r="BD2" s="50"/>
      <c r="BE2" s="82"/>
      <c r="BF2" s="82"/>
      <c r="BG2" s="82"/>
      <c r="BH2" s="82"/>
      <c r="BI2" s="82"/>
      <c r="BJ2" s="82"/>
      <c r="BK2" s="82"/>
    </row>
    <row r="3" spans="1:78" s="7" customFormat="1" ht="16.5" customHeight="1" x14ac:dyDescent="0.2">
      <c r="A3" s="18"/>
      <c r="B3" s="47" t="s">
        <v>121</v>
      </c>
      <c r="C3" s="114" t="s">
        <v>155</v>
      </c>
      <c r="D3" s="114" t="s">
        <v>156</v>
      </c>
      <c r="E3" s="114" t="s">
        <v>157</v>
      </c>
      <c r="F3" s="114" t="s">
        <v>158</v>
      </c>
      <c r="G3" s="114" t="s">
        <v>159</v>
      </c>
      <c r="H3" s="114" t="s">
        <v>160</v>
      </c>
      <c r="I3" s="114" t="s">
        <v>161</v>
      </c>
      <c r="J3" s="114" t="s">
        <v>162</v>
      </c>
      <c r="K3" s="47" t="s">
        <v>121</v>
      </c>
      <c r="L3" s="47" t="s">
        <v>121</v>
      </c>
      <c r="M3" s="114" t="s">
        <v>155</v>
      </c>
      <c r="N3" s="114" t="s">
        <v>156</v>
      </c>
      <c r="O3" s="114" t="s">
        <v>157</v>
      </c>
      <c r="P3" s="114" t="s">
        <v>158</v>
      </c>
      <c r="Q3" s="114" t="s">
        <v>159</v>
      </c>
      <c r="R3" s="114" t="s">
        <v>160</v>
      </c>
      <c r="S3" s="114" t="s">
        <v>161</v>
      </c>
      <c r="T3" s="114" t="s">
        <v>162</v>
      </c>
      <c r="U3" s="47" t="s">
        <v>121</v>
      </c>
      <c r="V3" s="47" t="s">
        <v>121</v>
      </c>
      <c r="W3" s="114" t="s">
        <v>155</v>
      </c>
      <c r="X3" s="114" t="s">
        <v>156</v>
      </c>
      <c r="Y3" s="114" t="s">
        <v>157</v>
      </c>
      <c r="Z3" s="114" t="s">
        <v>158</v>
      </c>
      <c r="AA3" s="114" t="s">
        <v>159</v>
      </c>
      <c r="AB3" s="114" t="s">
        <v>160</v>
      </c>
      <c r="AC3" s="114" t="s">
        <v>161</v>
      </c>
      <c r="AD3" s="114" t="s">
        <v>162</v>
      </c>
      <c r="AE3" s="47" t="s">
        <v>121</v>
      </c>
      <c r="AF3" s="47" t="s">
        <v>121</v>
      </c>
      <c r="AG3" s="114" t="s">
        <v>155</v>
      </c>
      <c r="AH3" s="114" t="s">
        <v>156</v>
      </c>
      <c r="AI3" s="114" t="s">
        <v>157</v>
      </c>
      <c r="AJ3" s="114" t="s">
        <v>158</v>
      </c>
      <c r="AK3" s="114" t="s">
        <v>159</v>
      </c>
      <c r="AL3" s="114" t="s">
        <v>160</v>
      </c>
      <c r="AM3" s="114" t="s">
        <v>161</v>
      </c>
      <c r="AN3" s="114" t="s">
        <v>162</v>
      </c>
      <c r="AO3" s="47" t="s">
        <v>121</v>
      </c>
      <c r="AP3" s="47" t="s">
        <v>121</v>
      </c>
      <c r="AQ3" s="114" t="s">
        <v>155</v>
      </c>
      <c r="AR3" s="114" t="s">
        <v>156</v>
      </c>
      <c r="AS3" s="114" t="s">
        <v>157</v>
      </c>
      <c r="AT3" s="114" t="s">
        <v>158</v>
      </c>
      <c r="AU3" s="114" t="s">
        <v>159</v>
      </c>
      <c r="AV3" s="114" t="s">
        <v>160</v>
      </c>
      <c r="AW3" s="114" t="s">
        <v>161</v>
      </c>
      <c r="AX3" s="114" t="s">
        <v>162</v>
      </c>
      <c r="AY3" s="47" t="s">
        <v>121</v>
      </c>
      <c r="AZ3" s="308">
        <f>B1</f>
        <v>2011</v>
      </c>
      <c r="BA3" s="308">
        <f>AZ3+1</f>
        <v>2012</v>
      </c>
      <c r="BB3" s="308">
        <f>BA3+1</f>
        <v>2013</v>
      </c>
      <c r="BC3" s="308">
        <f>BB3+1</f>
        <v>2014</v>
      </c>
      <c r="BD3" s="308">
        <f>BC3+1</f>
        <v>2015</v>
      </c>
      <c r="BE3" s="82"/>
      <c r="BF3" s="82"/>
      <c r="BG3" s="82"/>
      <c r="BH3" s="82"/>
      <c r="BI3" s="82"/>
      <c r="BJ3" s="82"/>
      <c r="BK3" s="82"/>
    </row>
    <row r="4" spans="1:78" s="31" customFormat="1" ht="16.5" customHeight="1" x14ac:dyDescent="0.2">
      <c r="A4" s="31" t="s">
        <v>330</v>
      </c>
      <c r="B4" s="692">
        <v>10877</v>
      </c>
      <c r="C4" s="231"/>
      <c r="D4" s="231"/>
      <c r="E4" s="231"/>
      <c r="F4" s="231"/>
      <c r="G4" s="231"/>
      <c r="H4" s="231"/>
      <c r="I4" s="231"/>
      <c r="J4" s="231"/>
      <c r="K4" s="120">
        <f>SUM(B4:J4)</f>
        <v>10877</v>
      </c>
      <c r="L4" s="230">
        <v>12148</v>
      </c>
      <c r="M4" s="231"/>
      <c r="N4" s="231"/>
      <c r="O4" s="231"/>
      <c r="P4" s="231"/>
      <c r="Q4" s="231"/>
      <c r="R4" s="231"/>
      <c r="S4" s="231"/>
      <c r="T4" s="231"/>
      <c r="U4" s="120">
        <f>SUM(L4:T4)</f>
        <v>12148</v>
      </c>
      <c r="V4" s="230">
        <v>12540</v>
      </c>
      <c r="W4" s="231"/>
      <c r="X4" s="231"/>
      <c r="Y4" s="231"/>
      <c r="Z4" s="231"/>
      <c r="AA4" s="231"/>
      <c r="AB4" s="231"/>
      <c r="AC4" s="231"/>
      <c r="AD4" s="231"/>
      <c r="AE4" s="120">
        <f>SUM(V4:AD4)</f>
        <v>12540</v>
      </c>
      <c r="AF4" s="230">
        <v>13506</v>
      </c>
      <c r="AG4" s="231"/>
      <c r="AH4" s="231"/>
      <c r="AI4" s="231"/>
      <c r="AJ4" s="231"/>
      <c r="AK4" s="231"/>
      <c r="AL4" s="231"/>
      <c r="AM4" s="231"/>
      <c r="AN4" s="231"/>
      <c r="AO4" s="120">
        <f>SUM(AF4:AN4)</f>
        <v>13506</v>
      </c>
      <c r="AP4" s="230">
        <v>14437</v>
      </c>
      <c r="AQ4" s="231"/>
      <c r="AR4" s="231"/>
      <c r="AS4" s="231">
        <v>-64</v>
      </c>
      <c r="AT4" s="231"/>
      <c r="AU4" s="231"/>
      <c r="AV4" s="231"/>
      <c r="AW4" s="231"/>
      <c r="AX4" s="231"/>
      <c r="AY4" s="120">
        <f>SUM(AP4:AX4)</f>
        <v>14373</v>
      </c>
      <c r="AZ4" s="120">
        <f>K4</f>
        <v>10877</v>
      </c>
      <c r="BA4" s="120">
        <f>U4</f>
        <v>12148</v>
      </c>
      <c r="BB4" s="120">
        <f>AE4</f>
        <v>12540</v>
      </c>
      <c r="BC4" s="120">
        <f>AO4</f>
        <v>13506</v>
      </c>
      <c r="BD4" s="120">
        <f>AY4</f>
        <v>14373</v>
      </c>
      <c r="BE4" s="87"/>
      <c r="BF4" s="87"/>
      <c r="BG4" s="87"/>
      <c r="BH4" s="87"/>
      <c r="BI4" s="87"/>
      <c r="BJ4" s="87"/>
      <c r="BK4" s="87"/>
    </row>
    <row r="5" spans="1:78" s="39" customFormat="1" ht="16.5" customHeight="1" x14ac:dyDescent="0.2">
      <c r="A5" s="1281" t="s">
        <v>1104</v>
      </c>
      <c r="B5" s="234">
        <v>6592</v>
      </c>
      <c r="C5" s="234"/>
      <c r="D5" s="234"/>
      <c r="E5" s="234"/>
      <c r="F5" s="234"/>
      <c r="G5" s="234">
        <v>41</v>
      </c>
      <c r="H5" s="234"/>
      <c r="I5" s="234"/>
      <c r="J5" s="234"/>
      <c r="K5" s="39">
        <f>SUM(B5:J5)</f>
        <v>6633</v>
      </c>
      <c r="L5" s="234">
        <v>7432</v>
      </c>
      <c r="M5" s="234"/>
      <c r="N5" s="234"/>
      <c r="O5" s="234"/>
      <c r="P5" s="234"/>
      <c r="Q5" s="234">
        <v>83</v>
      </c>
      <c r="R5" s="234"/>
      <c r="S5" s="234"/>
      <c r="T5" s="234"/>
      <c r="U5" s="39">
        <f>SUM(L5:T5)</f>
        <v>7515</v>
      </c>
      <c r="V5" s="234">
        <v>7737</v>
      </c>
      <c r="W5" s="234"/>
      <c r="X5" s="234"/>
      <c r="Y5" s="234"/>
      <c r="Z5" s="234"/>
      <c r="AA5" s="234">
        <v>52</v>
      </c>
      <c r="AB5" s="234"/>
      <c r="AC5" s="234"/>
      <c r="AD5" s="234"/>
      <c r="AE5" s="39">
        <f>SUM(V5:AD5)</f>
        <v>7789</v>
      </c>
      <c r="AF5" s="234">
        <v>8406</v>
      </c>
      <c r="AG5" s="234"/>
      <c r="AH5" s="234"/>
      <c r="AI5" s="234"/>
      <c r="AJ5" s="234"/>
      <c r="AK5" s="234">
        <v>84</v>
      </c>
      <c r="AL5" s="234"/>
      <c r="AM5" s="234"/>
      <c r="AN5" s="234"/>
      <c r="AO5" s="39">
        <f>SUM(AF5:AN5)</f>
        <v>8490</v>
      </c>
      <c r="AP5" s="234">
        <v>9168</v>
      </c>
      <c r="AQ5" s="234"/>
      <c r="AR5" s="234"/>
      <c r="AS5" s="234"/>
      <c r="AT5" s="234"/>
      <c r="AU5" s="234">
        <v>125</v>
      </c>
      <c r="AV5" s="234"/>
      <c r="AW5" s="234"/>
      <c r="AX5" s="234"/>
      <c r="AY5" s="39">
        <f>SUM(AP5:AX5)</f>
        <v>9293</v>
      </c>
      <c r="AZ5" s="39">
        <f t="shared" ref="AZ5:AZ28" si="0">K5</f>
        <v>6633</v>
      </c>
      <c r="BA5" s="39">
        <f t="shared" ref="BA5:BA28" si="1">U5</f>
        <v>7515</v>
      </c>
      <c r="BB5" s="39">
        <f t="shared" ref="BB5:BB28" si="2">AE5</f>
        <v>7789</v>
      </c>
      <c r="BC5" s="39">
        <f t="shared" ref="BC5:BC28" si="3">AO5</f>
        <v>8490</v>
      </c>
      <c r="BD5" s="39">
        <f t="shared" ref="BD5:BD28" si="4">AY5</f>
        <v>9293</v>
      </c>
      <c r="BE5" s="88"/>
      <c r="BF5" s="88"/>
      <c r="BG5" s="88"/>
      <c r="BH5" s="88"/>
      <c r="BI5" s="88"/>
      <c r="BJ5" s="88"/>
      <c r="BK5" s="88"/>
    </row>
    <row r="6" spans="1:78" s="89" customFormat="1" ht="16.5" customHeight="1" x14ac:dyDescent="0.2">
      <c r="A6" s="89" t="s">
        <v>65</v>
      </c>
      <c r="B6" s="89">
        <f>B4-B5</f>
        <v>4285</v>
      </c>
      <c r="C6" s="89">
        <f t="shared" ref="C6:K6" si="5">C4-C5</f>
        <v>0</v>
      </c>
      <c r="D6" s="89">
        <f t="shared" si="5"/>
        <v>0</v>
      </c>
      <c r="E6" s="89">
        <f t="shared" si="5"/>
        <v>0</v>
      </c>
      <c r="F6" s="89">
        <f t="shared" si="5"/>
        <v>0</v>
      </c>
      <c r="G6" s="89">
        <f t="shared" si="5"/>
        <v>-41</v>
      </c>
      <c r="H6" s="89">
        <f t="shared" si="5"/>
        <v>0</v>
      </c>
      <c r="I6" s="89">
        <f t="shared" si="5"/>
        <v>0</v>
      </c>
      <c r="J6" s="89">
        <f t="shared" si="5"/>
        <v>0</v>
      </c>
      <c r="K6" s="89">
        <f t="shared" si="5"/>
        <v>4244</v>
      </c>
      <c r="L6" s="89">
        <f t="shared" ref="L6:AY6" si="6">L4-L5</f>
        <v>4716</v>
      </c>
      <c r="M6" s="89">
        <f t="shared" si="6"/>
        <v>0</v>
      </c>
      <c r="N6" s="89">
        <f t="shared" si="6"/>
        <v>0</v>
      </c>
      <c r="O6" s="89">
        <f t="shared" si="6"/>
        <v>0</v>
      </c>
      <c r="P6" s="89">
        <f t="shared" si="6"/>
        <v>0</v>
      </c>
      <c r="Q6" s="89">
        <f t="shared" si="6"/>
        <v>-83</v>
      </c>
      <c r="R6" s="89">
        <f t="shared" si="6"/>
        <v>0</v>
      </c>
      <c r="S6" s="89">
        <f t="shared" si="6"/>
        <v>0</v>
      </c>
      <c r="T6" s="89">
        <f t="shared" si="6"/>
        <v>0</v>
      </c>
      <c r="U6" s="89">
        <f t="shared" si="6"/>
        <v>4633</v>
      </c>
      <c r="V6" s="89">
        <f>V4-V5</f>
        <v>4803</v>
      </c>
      <c r="W6" s="89">
        <f t="shared" si="6"/>
        <v>0</v>
      </c>
      <c r="X6" s="89">
        <f t="shared" si="6"/>
        <v>0</v>
      </c>
      <c r="Y6" s="89">
        <f t="shared" si="6"/>
        <v>0</v>
      </c>
      <c r="Z6" s="89">
        <f t="shared" si="6"/>
        <v>0</v>
      </c>
      <c r="AA6" s="89">
        <f t="shared" si="6"/>
        <v>-52</v>
      </c>
      <c r="AB6" s="89">
        <f t="shared" si="6"/>
        <v>0</v>
      </c>
      <c r="AC6" s="89">
        <f t="shared" si="6"/>
        <v>0</v>
      </c>
      <c r="AD6" s="89">
        <f t="shared" si="6"/>
        <v>0</v>
      </c>
      <c r="AE6" s="89">
        <f t="shared" si="6"/>
        <v>4751</v>
      </c>
      <c r="AF6" s="89">
        <f t="shared" si="6"/>
        <v>5100</v>
      </c>
      <c r="AG6" s="89">
        <f t="shared" si="6"/>
        <v>0</v>
      </c>
      <c r="AH6" s="89">
        <f t="shared" si="6"/>
        <v>0</v>
      </c>
      <c r="AI6" s="89">
        <f t="shared" si="6"/>
        <v>0</v>
      </c>
      <c r="AJ6" s="89">
        <f t="shared" si="6"/>
        <v>0</v>
      </c>
      <c r="AK6" s="89">
        <f t="shared" si="6"/>
        <v>-84</v>
      </c>
      <c r="AL6" s="89">
        <f t="shared" si="6"/>
        <v>0</v>
      </c>
      <c r="AM6" s="89">
        <f t="shared" si="6"/>
        <v>0</v>
      </c>
      <c r="AN6" s="89">
        <f t="shared" si="6"/>
        <v>0</v>
      </c>
      <c r="AO6" s="89">
        <f t="shared" si="6"/>
        <v>5016</v>
      </c>
      <c r="AP6" s="89">
        <f t="shared" si="6"/>
        <v>5269</v>
      </c>
      <c r="AQ6" s="89">
        <f t="shared" si="6"/>
        <v>0</v>
      </c>
      <c r="AR6" s="89">
        <f t="shared" si="6"/>
        <v>0</v>
      </c>
      <c r="AS6" s="89">
        <f t="shared" si="6"/>
        <v>-64</v>
      </c>
      <c r="AT6" s="89">
        <f t="shared" si="6"/>
        <v>0</v>
      </c>
      <c r="AU6" s="89">
        <f t="shared" si="6"/>
        <v>-125</v>
      </c>
      <c r="AV6" s="89">
        <f t="shared" si="6"/>
        <v>0</v>
      </c>
      <c r="AW6" s="89">
        <f t="shared" si="6"/>
        <v>0</v>
      </c>
      <c r="AX6" s="89">
        <f t="shared" si="6"/>
        <v>0</v>
      </c>
      <c r="AY6" s="89">
        <f t="shared" si="6"/>
        <v>5080</v>
      </c>
      <c r="AZ6" s="89">
        <f t="shared" si="0"/>
        <v>4244</v>
      </c>
      <c r="BA6" s="89">
        <f t="shared" si="1"/>
        <v>4633</v>
      </c>
      <c r="BB6" s="89">
        <f t="shared" si="2"/>
        <v>4751</v>
      </c>
      <c r="BC6" s="89">
        <f t="shared" si="3"/>
        <v>5016</v>
      </c>
      <c r="BD6" s="89">
        <f t="shared" si="4"/>
        <v>5080</v>
      </c>
      <c r="BE6" s="196"/>
      <c r="BF6" s="196"/>
      <c r="BG6" s="196"/>
      <c r="BH6" s="196"/>
      <c r="BI6" s="196"/>
      <c r="BJ6" s="196"/>
      <c r="BK6" s="196"/>
    </row>
    <row r="7" spans="1:78" s="96" customFormat="1" ht="16.5" customHeight="1" x14ac:dyDescent="0.2">
      <c r="A7" s="235" t="s">
        <v>66</v>
      </c>
    </row>
    <row r="8" spans="1:78" s="31" customFormat="1" ht="16.5" customHeight="1" x14ac:dyDescent="0.2">
      <c r="A8" s="31" t="s">
        <v>544</v>
      </c>
      <c r="B8" s="231">
        <v>2537</v>
      </c>
      <c r="C8" s="32">
        <f>-'Oper Lease Adjust 1'!H97</f>
        <v>-111</v>
      </c>
      <c r="D8" s="231"/>
      <c r="E8" s="231"/>
      <c r="F8" s="231"/>
      <c r="G8" s="231"/>
      <c r="H8" s="231">
        <v>-7</v>
      </c>
      <c r="I8" s="231"/>
      <c r="J8" s="231">
        <v>-25</v>
      </c>
      <c r="K8" s="31">
        <f>SUM(B8:J8)</f>
        <v>2394</v>
      </c>
      <c r="L8" s="231">
        <v>2781</v>
      </c>
      <c r="M8" s="32">
        <f>-'Oper Lease Adjust 2'!H97</f>
        <v>-122</v>
      </c>
      <c r="N8" s="231"/>
      <c r="O8" s="231"/>
      <c r="P8" s="231"/>
      <c r="Q8" s="231"/>
      <c r="R8" s="231">
        <v>-7</v>
      </c>
      <c r="S8" s="231"/>
      <c r="T8" s="231"/>
      <c r="U8" s="31">
        <f>SUM(L8:T8)</f>
        <v>2652</v>
      </c>
      <c r="V8" s="231">
        <v>2832</v>
      </c>
      <c r="W8" s="32">
        <f>-'Oper Lease Adjust 3'!H97</f>
        <v>-153</v>
      </c>
      <c r="X8" s="231"/>
      <c r="Y8" s="231"/>
      <c r="Z8" s="231"/>
      <c r="AA8" s="231"/>
      <c r="AB8" s="231">
        <v>-7</v>
      </c>
      <c r="AC8" s="231"/>
      <c r="AD8" s="231"/>
      <c r="AE8" s="31">
        <f>SUM(V8:AD8)</f>
        <v>2672</v>
      </c>
      <c r="AF8" s="231">
        <v>3074</v>
      </c>
      <c r="AG8" s="32">
        <f>-'Oper Lease Adjust 4'!H97</f>
        <v>-177</v>
      </c>
      <c r="AH8" s="231"/>
      <c r="AI8" s="231"/>
      <c r="AJ8" s="231"/>
      <c r="AK8" s="231"/>
      <c r="AL8" s="231">
        <v>-8</v>
      </c>
      <c r="AM8" s="231"/>
      <c r="AN8" s="231"/>
      <c r="AO8" s="31">
        <f>SUM(AF8:AN8)</f>
        <v>2889</v>
      </c>
      <c r="AP8" s="231">
        <v>3365</v>
      </c>
      <c r="AQ8" s="32">
        <f>-'Oper Lease Adjust 5'!H97</f>
        <v>-210</v>
      </c>
      <c r="AR8" s="231"/>
      <c r="AS8" s="231">
        <v>32</v>
      </c>
      <c r="AT8" s="231"/>
      <c r="AU8" s="231"/>
      <c r="AV8" s="231">
        <v>-7</v>
      </c>
      <c r="AW8" s="231"/>
      <c r="AX8" s="231">
        <v>-59</v>
      </c>
      <c r="AY8" s="31">
        <f>SUM(AP8:AX8)</f>
        <v>3121</v>
      </c>
      <c r="AZ8" s="31">
        <f t="shared" si="0"/>
        <v>2394</v>
      </c>
      <c r="BA8" s="31">
        <f t="shared" si="1"/>
        <v>2652</v>
      </c>
      <c r="BB8" s="31">
        <f t="shared" si="2"/>
        <v>2672</v>
      </c>
      <c r="BC8" s="31">
        <f t="shared" si="3"/>
        <v>2889</v>
      </c>
      <c r="BD8" s="31">
        <f t="shared" si="4"/>
        <v>3121</v>
      </c>
      <c r="BE8" s="87"/>
      <c r="BF8" s="87"/>
      <c r="BG8" s="87"/>
      <c r="BH8" s="87"/>
      <c r="BI8" s="87"/>
      <c r="BJ8" s="87"/>
      <c r="BK8" s="87"/>
    </row>
    <row r="9" spans="1:78" s="31" customFormat="1" ht="16.5" customHeight="1" x14ac:dyDescent="0.2">
      <c r="A9" s="31" t="s">
        <v>354</v>
      </c>
      <c r="B9" s="231">
        <v>0</v>
      </c>
      <c r="C9" s="231"/>
      <c r="D9" s="231"/>
      <c r="E9" s="231"/>
      <c r="F9" s="231"/>
      <c r="G9" s="231"/>
      <c r="H9" s="231"/>
      <c r="I9" s="231"/>
      <c r="J9" s="231"/>
      <c r="K9" s="31">
        <f>SUM(B9:J9)</f>
        <v>0</v>
      </c>
      <c r="L9" s="231">
        <v>0</v>
      </c>
      <c r="M9" s="231"/>
      <c r="N9" s="231"/>
      <c r="O9" s="231"/>
      <c r="P9" s="231"/>
      <c r="Q9" s="231"/>
      <c r="R9" s="231"/>
      <c r="S9" s="231"/>
      <c r="T9" s="231"/>
      <c r="U9" s="31">
        <f>SUM(L9:T9)</f>
        <v>0</v>
      </c>
      <c r="V9" s="231">
        <v>0</v>
      </c>
      <c r="W9" s="231"/>
      <c r="X9" s="231"/>
      <c r="Y9" s="231"/>
      <c r="Z9" s="231"/>
      <c r="AA9" s="231"/>
      <c r="AB9" s="231"/>
      <c r="AC9" s="231"/>
      <c r="AD9" s="231"/>
      <c r="AE9" s="31">
        <f>SUM(V9:AD9)</f>
        <v>0</v>
      </c>
      <c r="AF9" s="231">
        <v>0</v>
      </c>
      <c r="AG9" s="231"/>
      <c r="AH9" s="231"/>
      <c r="AI9" s="231"/>
      <c r="AJ9" s="231"/>
      <c r="AK9" s="231"/>
      <c r="AL9" s="231"/>
      <c r="AM9" s="231"/>
      <c r="AN9" s="231"/>
      <c r="AO9" s="31">
        <f>SUM(AF9:AN9)</f>
        <v>0</v>
      </c>
      <c r="AP9" s="231">
        <v>0</v>
      </c>
      <c r="AQ9" s="231"/>
      <c r="AR9" s="231"/>
      <c r="AS9" s="231"/>
      <c r="AT9" s="231"/>
      <c r="AU9" s="231"/>
      <c r="AV9" s="231"/>
      <c r="AW9" s="231"/>
      <c r="AX9" s="231"/>
      <c r="AY9" s="31">
        <f>SUM(AP9:AX9)</f>
        <v>0</v>
      </c>
      <c r="AZ9" s="31">
        <f t="shared" si="0"/>
        <v>0</v>
      </c>
      <c r="BA9" s="31">
        <f t="shared" si="1"/>
        <v>0</v>
      </c>
      <c r="BB9" s="31">
        <f t="shared" si="2"/>
        <v>0</v>
      </c>
      <c r="BC9" s="31">
        <f t="shared" si="3"/>
        <v>0</v>
      </c>
      <c r="BD9" s="31">
        <f t="shared" si="4"/>
        <v>0</v>
      </c>
      <c r="BE9" s="87"/>
      <c r="BF9" s="87"/>
      <c r="BG9" s="87"/>
      <c r="BH9" s="87"/>
      <c r="BI9" s="87"/>
      <c r="BJ9" s="87"/>
      <c r="BK9" s="87"/>
    </row>
    <row r="10" spans="1:78" s="39" customFormat="1" ht="16.5" customHeight="1" x14ac:dyDescent="0.2">
      <c r="A10" s="39" t="s">
        <v>353</v>
      </c>
      <c r="B10" s="234">
        <v>128</v>
      </c>
      <c r="C10" s="234"/>
      <c r="D10" s="234"/>
      <c r="E10" s="234"/>
      <c r="F10" s="234"/>
      <c r="G10" s="234"/>
      <c r="H10" s="234"/>
      <c r="I10" s="234"/>
      <c r="J10" s="234"/>
      <c r="K10" s="31">
        <f>SUM(B10:J10)</f>
        <v>128</v>
      </c>
      <c r="L10" s="234">
        <v>161</v>
      </c>
      <c r="M10" s="234"/>
      <c r="N10" s="234"/>
      <c r="O10" s="234"/>
      <c r="P10" s="234"/>
      <c r="Q10" s="234"/>
      <c r="R10" s="234"/>
      <c r="S10" s="234"/>
      <c r="T10" s="234"/>
      <c r="U10" s="31">
        <f>SUM(L10:T10)</f>
        <v>161</v>
      </c>
      <c r="V10" s="234">
        <v>167</v>
      </c>
      <c r="W10" s="234"/>
      <c r="X10" s="234"/>
      <c r="Y10" s="234"/>
      <c r="Z10" s="234"/>
      <c r="AA10" s="234"/>
      <c r="AB10" s="234"/>
      <c r="AC10" s="234"/>
      <c r="AD10" s="234"/>
      <c r="AE10" s="31">
        <f>SUM(V10:AD10)</f>
        <v>167</v>
      </c>
      <c r="AF10" s="234">
        <v>195</v>
      </c>
      <c r="AG10" s="234"/>
      <c r="AH10" s="234"/>
      <c r="AI10" s="234"/>
      <c r="AJ10" s="234"/>
      <c r="AK10" s="234"/>
      <c r="AL10" s="234"/>
      <c r="AM10" s="234"/>
      <c r="AN10" s="234"/>
      <c r="AO10" s="31">
        <f>SUM(AF10:AN10)</f>
        <v>195</v>
      </c>
      <c r="AP10" s="234">
        <v>227</v>
      </c>
      <c r="AQ10" s="234"/>
      <c r="AR10" s="234"/>
      <c r="AS10" s="234"/>
      <c r="AT10" s="234"/>
      <c r="AU10" s="234"/>
      <c r="AV10" s="234"/>
      <c r="AW10" s="234"/>
      <c r="AX10" s="234"/>
      <c r="AY10" s="31">
        <f>SUM(AP10:AX10)</f>
        <v>227</v>
      </c>
      <c r="AZ10" s="31">
        <f>K10</f>
        <v>128</v>
      </c>
      <c r="BA10" s="31">
        <f>U10</f>
        <v>161</v>
      </c>
      <c r="BB10" s="31">
        <f>AE10</f>
        <v>167</v>
      </c>
      <c r="BC10" s="31">
        <f>AO10</f>
        <v>195</v>
      </c>
      <c r="BD10" s="31">
        <f>AY10</f>
        <v>227</v>
      </c>
      <c r="BE10" s="88"/>
      <c r="BF10" s="88"/>
      <c r="BG10" s="88"/>
      <c r="BH10" s="88"/>
      <c r="BI10" s="88"/>
      <c r="BJ10" s="88"/>
      <c r="BK10" s="88"/>
    </row>
    <row r="11" spans="1:78" s="39" customFormat="1" ht="16.5" customHeight="1" x14ac:dyDescent="0.2">
      <c r="A11" s="39" t="s">
        <v>574</v>
      </c>
      <c r="B11" s="234">
        <v>371</v>
      </c>
      <c r="C11" s="75">
        <f>'Oper Lease Adjust 1'!G95</f>
        <v>74</v>
      </c>
      <c r="D11" s="234"/>
      <c r="E11" s="234"/>
      <c r="F11" s="234"/>
      <c r="G11" s="234"/>
      <c r="H11" s="234"/>
      <c r="I11" s="234"/>
      <c r="J11" s="234"/>
      <c r="K11" s="31">
        <f>SUM(B11:J11)</f>
        <v>445</v>
      </c>
      <c r="L11" s="234">
        <v>429</v>
      </c>
      <c r="M11" s="75">
        <f>'Oper Lease Adjust 2'!G95</f>
        <v>77</v>
      </c>
      <c r="N11" s="234"/>
      <c r="O11" s="234"/>
      <c r="P11" s="234"/>
      <c r="Q11" s="234"/>
      <c r="R11" s="234"/>
      <c r="S11" s="234"/>
      <c r="T11" s="234"/>
      <c r="U11" s="31">
        <f>SUM(L11:T11)</f>
        <v>506</v>
      </c>
      <c r="V11" s="234">
        <v>454</v>
      </c>
      <c r="W11" s="75">
        <f>'Oper Lease Adjust 3'!G95</f>
        <v>115</v>
      </c>
      <c r="X11" s="234"/>
      <c r="Y11" s="234"/>
      <c r="Z11" s="234"/>
      <c r="AA11" s="234"/>
      <c r="AB11" s="234"/>
      <c r="AC11" s="234"/>
      <c r="AD11" s="234"/>
      <c r="AE11" s="31">
        <f>SUM(V11:AD11)</f>
        <v>569</v>
      </c>
      <c r="AF11" s="234">
        <v>508</v>
      </c>
      <c r="AG11" s="75">
        <f>'Oper Lease Adjust 4'!G95</f>
        <v>142</v>
      </c>
      <c r="AH11" s="234"/>
      <c r="AI11" s="234"/>
      <c r="AJ11" s="234"/>
      <c r="AK11" s="234"/>
      <c r="AL11" s="234"/>
      <c r="AM11" s="234"/>
      <c r="AN11" s="234"/>
      <c r="AO11" s="31">
        <f>SUM(AF11:AN11)</f>
        <v>650</v>
      </c>
      <c r="AP11" s="234">
        <v>576</v>
      </c>
      <c r="AQ11" s="75">
        <f>'Oper Lease Adjust 5'!G95</f>
        <v>166</v>
      </c>
      <c r="AR11" s="234"/>
      <c r="AS11" s="234"/>
      <c r="AT11" s="234"/>
      <c r="AU11" s="234"/>
      <c r="AV11" s="234"/>
      <c r="AW11" s="234"/>
      <c r="AX11" s="234"/>
      <c r="AY11" s="31">
        <f>SUM(AP11:AX11)</f>
        <v>742</v>
      </c>
      <c r="AZ11" s="39">
        <f t="shared" si="0"/>
        <v>445</v>
      </c>
      <c r="BA11" s="39">
        <f t="shared" si="1"/>
        <v>506</v>
      </c>
      <c r="BB11" s="39">
        <f t="shared" si="2"/>
        <v>569</v>
      </c>
      <c r="BC11" s="39">
        <f t="shared" si="3"/>
        <v>650</v>
      </c>
      <c r="BD11" s="39">
        <f t="shared" si="4"/>
        <v>742</v>
      </c>
      <c r="BE11" s="88"/>
      <c r="BF11" s="88"/>
      <c r="BG11" s="88"/>
      <c r="BH11" s="88"/>
      <c r="BI11" s="88"/>
      <c r="BJ11" s="88"/>
      <c r="BK11" s="88"/>
    </row>
    <row r="12" spans="1:78" s="39" customFormat="1" ht="16.5" customHeight="1" x14ac:dyDescent="0.2">
      <c r="A12" s="39" t="s">
        <v>299</v>
      </c>
      <c r="B12" s="234">
        <v>0</v>
      </c>
      <c r="C12" s="234"/>
      <c r="D12" s="234"/>
      <c r="E12" s="234"/>
      <c r="F12" s="234"/>
      <c r="G12" s="234"/>
      <c r="H12" s="234"/>
      <c r="I12" s="234"/>
      <c r="J12" s="234"/>
      <c r="K12" s="31">
        <f>SUM(B12:J12)</f>
        <v>0</v>
      </c>
      <c r="L12" s="234">
        <v>0</v>
      </c>
      <c r="M12" s="234"/>
      <c r="N12" s="234"/>
      <c r="O12" s="234"/>
      <c r="P12" s="234"/>
      <c r="Q12" s="234"/>
      <c r="R12" s="234"/>
      <c r="S12" s="234"/>
      <c r="T12" s="234"/>
      <c r="U12" s="31">
        <f>SUM(L12:T12)</f>
        <v>0</v>
      </c>
      <c r="V12" s="234">
        <v>0</v>
      </c>
      <c r="W12" s="234"/>
      <c r="X12" s="234"/>
      <c r="Y12" s="234"/>
      <c r="Z12" s="234"/>
      <c r="AA12" s="234"/>
      <c r="AB12" s="234"/>
      <c r="AC12" s="234"/>
      <c r="AD12" s="234"/>
      <c r="AE12" s="31">
        <f>SUM(V12:AD12)</f>
        <v>0</v>
      </c>
      <c r="AF12" s="234">
        <v>0</v>
      </c>
      <c r="AG12" s="234"/>
      <c r="AH12" s="234"/>
      <c r="AI12" s="234"/>
      <c r="AJ12" s="234"/>
      <c r="AK12" s="234"/>
      <c r="AL12" s="234"/>
      <c r="AM12" s="234"/>
      <c r="AN12" s="234"/>
      <c r="AO12" s="31">
        <f>SUM(AF12:AN12)</f>
        <v>0</v>
      </c>
      <c r="AP12" s="234">
        <v>0</v>
      </c>
      <c r="AQ12" s="234"/>
      <c r="AR12" s="234"/>
      <c r="AS12" s="234"/>
      <c r="AT12" s="234"/>
      <c r="AU12" s="234"/>
      <c r="AV12" s="234"/>
      <c r="AW12" s="234"/>
      <c r="AX12" s="234"/>
      <c r="AY12" s="31">
        <f>SUM(AP12:AX12)</f>
        <v>0</v>
      </c>
      <c r="AZ12" s="39">
        <f t="shared" si="0"/>
        <v>0</v>
      </c>
      <c r="BA12" s="39">
        <f t="shared" si="1"/>
        <v>0</v>
      </c>
      <c r="BB12" s="39">
        <f t="shared" si="2"/>
        <v>0</v>
      </c>
      <c r="BC12" s="39">
        <f t="shared" si="3"/>
        <v>0</v>
      </c>
      <c r="BD12" s="39">
        <f t="shared" si="4"/>
        <v>0</v>
      </c>
      <c r="BE12" s="88"/>
      <c r="BF12" s="88"/>
      <c r="BG12" s="88"/>
      <c r="BH12" s="88"/>
      <c r="BI12" s="88"/>
      <c r="BJ12" s="88"/>
      <c r="BK12" s="88"/>
    </row>
    <row r="13" spans="1:78" s="115" customFormat="1" ht="16.5" customHeight="1" x14ac:dyDescent="0.2">
      <c r="A13" s="115" t="s">
        <v>83</v>
      </c>
      <c r="B13" s="115">
        <f>SUM(B8:B12)</f>
        <v>3036</v>
      </c>
      <c r="C13" s="115">
        <f t="shared" ref="C13:K13" si="7">SUM(C8:C12)</f>
        <v>-37</v>
      </c>
      <c r="D13" s="115">
        <f t="shared" si="7"/>
        <v>0</v>
      </c>
      <c r="E13" s="115">
        <f t="shared" si="7"/>
        <v>0</v>
      </c>
      <c r="F13" s="115">
        <f t="shared" si="7"/>
        <v>0</v>
      </c>
      <c r="G13" s="115">
        <f t="shared" si="7"/>
        <v>0</v>
      </c>
      <c r="H13" s="115">
        <f t="shared" si="7"/>
        <v>-7</v>
      </c>
      <c r="I13" s="115">
        <f t="shared" si="7"/>
        <v>0</v>
      </c>
      <c r="J13" s="115">
        <f t="shared" si="7"/>
        <v>-25</v>
      </c>
      <c r="K13" s="115">
        <f t="shared" si="7"/>
        <v>2967</v>
      </c>
      <c r="L13" s="115">
        <f t="shared" ref="L13:AY13" si="8">SUM(L8:L12)</f>
        <v>3371</v>
      </c>
      <c r="M13" s="115">
        <f t="shared" si="8"/>
        <v>-45</v>
      </c>
      <c r="N13" s="115">
        <f t="shared" si="8"/>
        <v>0</v>
      </c>
      <c r="O13" s="115">
        <f t="shared" si="8"/>
        <v>0</v>
      </c>
      <c r="P13" s="115">
        <f t="shared" si="8"/>
        <v>0</v>
      </c>
      <c r="Q13" s="115">
        <f t="shared" si="8"/>
        <v>0</v>
      </c>
      <c r="R13" s="115">
        <f t="shared" si="8"/>
        <v>-7</v>
      </c>
      <c r="S13" s="115">
        <f t="shared" si="8"/>
        <v>0</v>
      </c>
      <c r="T13" s="115">
        <f t="shared" si="8"/>
        <v>0</v>
      </c>
      <c r="U13" s="115">
        <f t="shared" si="8"/>
        <v>3319</v>
      </c>
      <c r="V13" s="115">
        <f t="shared" si="8"/>
        <v>3453</v>
      </c>
      <c r="W13" s="115">
        <f t="shared" si="8"/>
        <v>-38</v>
      </c>
      <c r="X13" s="115">
        <f t="shared" si="8"/>
        <v>0</v>
      </c>
      <c r="Y13" s="115">
        <f t="shared" si="8"/>
        <v>0</v>
      </c>
      <c r="Z13" s="115">
        <f t="shared" si="8"/>
        <v>0</v>
      </c>
      <c r="AA13" s="115">
        <f t="shared" si="8"/>
        <v>0</v>
      </c>
      <c r="AB13" s="115">
        <f t="shared" si="8"/>
        <v>-7</v>
      </c>
      <c r="AC13" s="115">
        <f t="shared" si="8"/>
        <v>0</v>
      </c>
      <c r="AD13" s="115">
        <f t="shared" si="8"/>
        <v>0</v>
      </c>
      <c r="AE13" s="115">
        <f t="shared" si="8"/>
        <v>3408</v>
      </c>
      <c r="AF13" s="115">
        <f t="shared" si="8"/>
        <v>3777</v>
      </c>
      <c r="AG13" s="115">
        <f t="shared" si="8"/>
        <v>-35</v>
      </c>
      <c r="AH13" s="115">
        <f t="shared" si="8"/>
        <v>0</v>
      </c>
      <c r="AI13" s="115">
        <f t="shared" si="8"/>
        <v>0</v>
      </c>
      <c r="AJ13" s="115">
        <f t="shared" si="8"/>
        <v>0</v>
      </c>
      <c r="AK13" s="115">
        <f t="shared" si="8"/>
        <v>0</v>
      </c>
      <c r="AL13" s="115">
        <f t="shared" si="8"/>
        <v>-8</v>
      </c>
      <c r="AM13" s="115">
        <f t="shared" si="8"/>
        <v>0</v>
      </c>
      <c r="AN13" s="115">
        <f t="shared" si="8"/>
        <v>0</v>
      </c>
      <c r="AO13" s="115">
        <f t="shared" si="8"/>
        <v>3734</v>
      </c>
      <c r="AP13" s="115">
        <f t="shared" si="8"/>
        <v>4168</v>
      </c>
      <c r="AQ13" s="115">
        <f t="shared" si="8"/>
        <v>-44</v>
      </c>
      <c r="AR13" s="115">
        <f t="shared" si="8"/>
        <v>0</v>
      </c>
      <c r="AS13" s="115">
        <f t="shared" si="8"/>
        <v>32</v>
      </c>
      <c r="AT13" s="115">
        <f t="shared" si="8"/>
        <v>0</v>
      </c>
      <c r="AU13" s="115">
        <f t="shared" si="8"/>
        <v>0</v>
      </c>
      <c r="AV13" s="115">
        <f t="shared" si="8"/>
        <v>-7</v>
      </c>
      <c r="AW13" s="115">
        <f t="shared" si="8"/>
        <v>0</v>
      </c>
      <c r="AX13" s="115">
        <f t="shared" si="8"/>
        <v>-59</v>
      </c>
      <c r="AY13" s="115">
        <f t="shared" si="8"/>
        <v>4090</v>
      </c>
      <c r="AZ13" s="115">
        <f t="shared" si="0"/>
        <v>2967</v>
      </c>
      <c r="BA13" s="115">
        <f t="shared" si="1"/>
        <v>3319</v>
      </c>
      <c r="BB13" s="115">
        <f t="shared" si="2"/>
        <v>3408</v>
      </c>
      <c r="BC13" s="115">
        <f t="shared" si="3"/>
        <v>3734</v>
      </c>
      <c r="BD13" s="115">
        <f t="shared" si="4"/>
        <v>4090</v>
      </c>
      <c r="BE13" s="165"/>
      <c r="BF13" s="165"/>
      <c r="BG13" s="165"/>
      <c r="BH13" s="165"/>
      <c r="BI13" s="165"/>
      <c r="BJ13" s="165"/>
      <c r="BK13" s="165"/>
    </row>
    <row r="14" spans="1:78" s="33" customFormat="1" ht="16.5" customHeight="1" x14ac:dyDescent="0.2">
      <c r="A14" s="33" t="s">
        <v>53</v>
      </c>
      <c r="B14" s="33">
        <f>B6-B13</f>
        <v>1249</v>
      </c>
      <c r="C14" s="33">
        <f t="shared" ref="C14:K14" si="9">C6-C13</f>
        <v>37</v>
      </c>
      <c r="D14" s="33">
        <f t="shared" si="9"/>
        <v>0</v>
      </c>
      <c r="E14" s="33">
        <f t="shared" si="9"/>
        <v>0</v>
      </c>
      <c r="F14" s="33">
        <f t="shared" si="9"/>
        <v>0</v>
      </c>
      <c r="G14" s="33">
        <f t="shared" si="9"/>
        <v>-41</v>
      </c>
      <c r="H14" s="33">
        <f t="shared" si="9"/>
        <v>7</v>
      </c>
      <c r="I14" s="33">
        <f t="shared" si="9"/>
        <v>0</v>
      </c>
      <c r="J14" s="33">
        <f t="shared" si="9"/>
        <v>25</v>
      </c>
      <c r="K14" s="33">
        <f t="shared" si="9"/>
        <v>1277</v>
      </c>
      <c r="L14" s="33">
        <f t="shared" ref="L14:AY14" si="10">L6-L13</f>
        <v>1345</v>
      </c>
      <c r="M14" s="33">
        <f t="shared" si="10"/>
        <v>45</v>
      </c>
      <c r="N14" s="33">
        <f t="shared" si="10"/>
        <v>0</v>
      </c>
      <c r="O14" s="33">
        <f t="shared" si="10"/>
        <v>0</v>
      </c>
      <c r="P14" s="33">
        <f t="shared" si="10"/>
        <v>0</v>
      </c>
      <c r="Q14" s="33">
        <f t="shared" si="10"/>
        <v>-83</v>
      </c>
      <c r="R14" s="33">
        <f t="shared" si="10"/>
        <v>7</v>
      </c>
      <c r="S14" s="33">
        <f t="shared" si="10"/>
        <v>0</v>
      </c>
      <c r="T14" s="33">
        <f t="shared" si="10"/>
        <v>0</v>
      </c>
      <c r="U14" s="33">
        <f t="shared" si="10"/>
        <v>1314</v>
      </c>
      <c r="V14" s="33">
        <f t="shared" si="10"/>
        <v>1350</v>
      </c>
      <c r="W14" s="33">
        <f t="shared" si="10"/>
        <v>38</v>
      </c>
      <c r="X14" s="33">
        <f t="shared" si="10"/>
        <v>0</v>
      </c>
      <c r="Y14" s="33">
        <f t="shared" si="10"/>
        <v>0</v>
      </c>
      <c r="Z14" s="33">
        <f t="shared" si="10"/>
        <v>0</v>
      </c>
      <c r="AA14" s="33">
        <f t="shared" si="10"/>
        <v>-52</v>
      </c>
      <c r="AB14" s="33">
        <f t="shared" si="10"/>
        <v>7</v>
      </c>
      <c r="AC14" s="33">
        <f t="shared" si="10"/>
        <v>0</v>
      </c>
      <c r="AD14" s="33">
        <f t="shared" si="10"/>
        <v>0</v>
      </c>
      <c r="AE14" s="33">
        <f t="shared" si="10"/>
        <v>1343</v>
      </c>
      <c r="AF14" s="33">
        <f t="shared" si="10"/>
        <v>1323</v>
      </c>
      <c r="AG14" s="33">
        <f t="shared" si="10"/>
        <v>35</v>
      </c>
      <c r="AH14" s="33">
        <f t="shared" si="10"/>
        <v>0</v>
      </c>
      <c r="AI14" s="33">
        <f t="shared" si="10"/>
        <v>0</v>
      </c>
      <c r="AJ14" s="33">
        <f t="shared" si="10"/>
        <v>0</v>
      </c>
      <c r="AK14" s="33">
        <f t="shared" si="10"/>
        <v>-84</v>
      </c>
      <c r="AL14" s="33">
        <f t="shared" si="10"/>
        <v>8</v>
      </c>
      <c r="AM14" s="33">
        <f t="shared" si="10"/>
        <v>0</v>
      </c>
      <c r="AN14" s="33">
        <f t="shared" si="10"/>
        <v>0</v>
      </c>
      <c r="AO14" s="33">
        <f t="shared" si="10"/>
        <v>1282</v>
      </c>
      <c r="AP14" s="33">
        <f t="shared" si="10"/>
        <v>1101</v>
      </c>
      <c r="AQ14" s="33">
        <f t="shared" si="10"/>
        <v>44</v>
      </c>
      <c r="AR14" s="33">
        <f t="shared" si="10"/>
        <v>0</v>
      </c>
      <c r="AS14" s="33">
        <f t="shared" si="10"/>
        <v>-96</v>
      </c>
      <c r="AT14" s="33">
        <f t="shared" si="10"/>
        <v>0</v>
      </c>
      <c r="AU14" s="33">
        <f t="shared" si="10"/>
        <v>-125</v>
      </c>
      <c r="AV14" s="33">
        <f t="shared" si="10"/>
        <v>7</v>
      </c>
      <c r="AW14" s="33">
        <f t="shared" si="10"/>
        <v>0</v>
      </c>
      <c r="AX14" s="33">
        <f t="shared" si="10"/>
        <v>59</v>
      </c>
      <c r="AY14" s="33">
        <f t="shared" si="10"/>
        <v>990</v>
      </c>
      <c r="AZ14" s="33">
        <f t="shared" si="0"/>
        <v>1277</v>
      </c>
      <c r="BA14" s="33">
        <f t="shared" si="1"/>
        <v>1314</v>
      </c>
      <c r="BB14" s="33">
        <f t="shared" si="2"/>
        <v>1343</v>
      </c>
      <c r="BC14" s="33">
        <f t="shared" si="3"/>
        <v>1282</v>
      </c>
      <c r="BD14" s="33">
        <f t="shared" si="4"/>
        <v>990</v>
      </c>
      <c r="BE14" s="195"/>
      <c r="BF14" s="195"/>
      <c r="BG14" s="195"/>
      <c r="BH14" s="195"/>
      <c r="BI14" s="195"/>
      <c r="BJ14" s="195"/>
      <c r="BK14" s="195"/>
    </row>
    <row r="15" spans="1:78" s="96" customFormat="1" ht="16.5" customHeight="1" x14ac:dyDescent="0.2">
      <c r="A15" s="235" t="s">
        <v>301</v>
      </c>
    </row>
    <row r="16" spans="1:78" s="31" customFormat="1" ht="16.5" customHeight="1" x14ac:dyDescent="0.2">
      <c r="A16" s="31" t="s">
        <v>137</v>
      </c>
      <c r="B16" s="231">
        <v>-130</v>
      </c>
      <c r="C16" s="32">
        <f>-'Oper Lease Adjust 1'!G94</f>
        <v>-36</v>
      </c>
      <c r="D16" s="231"/>
      <c r="E16" s="231"/>
      <c r="F16" s="231"/>
      <c r="G16" s="231"/>
      <c r="H16" s="231">
        <v>-7</v>
      </c>
      <c r="I16" s="231">
        <v>-7</v>
      </c>
      <c r="J16" s="231"/>
      <c r="K16" s="31">
        <f>SUM(B16:J16)</f>
        <v>-180</v>
      </c>
      <c r="L16" s="231">
        <v>-160</v>
      </c>
      <c r="M16" s="32">
        <f>-'Oper Lease Adjust 2'!G94</f>
        <v>-37</v>
      </c>
      <c r="N16" s="231"/>
      <c r="O16" s="231"/>
      <c r="P16" s="231"/>
      <c r="Q16" s="231"/>
      <c r="R16" s="231">
        <v>-7</v>
      </c>
      <c r="S16" s="231">
        <v>-5</v>
      </c>
      <c r="T16" s="231"/>
      <c r="U16" s="31">
        <f>SUM(L16:T16)</f>
        <v>-209</v>
      </c>
      <c r="V16" s="231">
        <v>-161</v>
      </c>
      <c r="W16" s="32">
        <f>-'Oper Lease Adjust 3'!G94</f>
        <v>-56</v>
      </c>
      <c r="X16" s="231"/>
      <c r="Y16" s="231"/>
      <c r="Z16" s="231"/>
      <c r="AA16" s="231"/>
      <c r="AB16" s="231">
        <v>-7</v>
      </c>
      <c r="AC16" s="231">
        <v>-14</v>
      </c>
      <c r="AD16" s="231"/>
      <c r="AE16" s="31">
        <f>SUM(V16:AD16)</f>
        <v>-238</v>
      </c>
      <c r="AF16" s="231">
        <v>-138</v>
      </c>
      <c r="AG16" s="32">
        <f>-'Oper Lease Adjust 4'!G94</f>
        <v>-69</v>
      </c>
      <c r="AH16" s="231"/>
      <c r="AI16" s="231"/>
      <c r="AJ16" s="231"/>
      <c r="AK16" s="231"/>
      <c r="AL16" s="231">
        <v>-8</v>
      </c>
      <c r="AM16" s="231">
        <v>-17</v>
      </c>
      <c r="AN16" s="231"/>
      <c r="AO16" s="31">
        <f>SUM(AF16:AN16)</f>
        <v>-232</v>
      </c>
      <c r="AP16" s="231">
        <v>-125</v>
      </c>
      <c r="AQ16" s="32">
        <f>-'Oper Lease Adjust 5'!G94</f>
        <v>-80</v>
      </c>
      <c r="AR16" s="231"/>
      <c r="AS16" s="231"/>
      <c r="AT16" s="231"/>
      <c r="AU16" s="231"/>
      <c r="AV16" s="231">
        <v>-7</v>
      </c>
      <c r="AW16" s="231">
        <v>-28</v>
      </c>
      <c r="AX16" s="231"/>
      <c r="AY16" s="31">
        <f>SUM(AP16:AX16)</f>
        <v>-240</v>
      </c>
      <c r="AZ16" s="31">
        <f t="shared" si="0"/>
        <v>-180</v>
      </c>
      <c r="BA16" s="31">
        <f t="shared" si="1"/>
        <v>-209</v>
      </c>
      <c r="BB16" s="31">
        <f t="shared" si="2"/>
        <v>-238</v>
      </c>
      <c r="BC16" s="31">
        <f t="shared" si="3"/>
        <v>-232</v>
      </c>
      <c r="BD16" s="31">
        <f t="shared" si="4"/>
        <v>-240</v>
      </c>
      <c r="BE16" s="87"/>
      <c r="BF16" s="87"/>
      <c r="BG16" s="87"/>
      <c r="BH16" s="87"/>
      <c r="BI16" s="87"/>
      <c r="BJ16" s="87"/>
      <c r="BK16" s="87"/>
    </row>
    <row r="17" spans="1:63" s="31" customFormat="1" ht="16.5" customHeight="1" x14ac:dyDescent="0.2">
      <c r="A17" s="231" t="s">
        <v>168</v>
      </c>
      <c r="B17" s="231" t="s">
        <v>1085</v>
      </c>
      <c r="C17" s="231"/>
      <c r="D17" s="231"/>
      <c r="E17" s="231"/>
      <c r="F17" s="231"/>
      <c r="G17" s="231"/>
      <c r="H17" s="231"/>
      <c r="I17" s="231"/>
      <c r="J17" s="231">
        <v>0</v>
      </c>
      <c r="K17" s="31">
        <f t="shared" ref="K17:K24" si="11">SUM(B17:J17)</f>
        <v>0</v>
      </c>
      <c r="L17" s="231">
        <v>0</v>
      </c>
      <c r="M17" s="231"/>
      <c r="N17" s="231"/>
      <c r="O17" s="231"/>
      <c r="P17" s="231"/>
      <c r="Q17" s="231"/>
      <c r="R17" s="231"/>
      <c r="S17" s="231"/>
      <c r="T17" s="231">
        <v>0</v>
      </c>
      <c r="U17" s="31">
        <f t="shared" ref="U17:U24" si="12">SUM(L17:T17)</f>
        <v>0</v>
      </c>
      <c r="V17" s="231">
        <v>0</v>
      </c>
      <c r="W17" s="231"/>
      <c r="X17" s="231"/>
      <c r="Y17" s="231"/>
      <c r="Z17" s="231"/>
      <c r="AA17" s="231"/>
      <c r="AB17" s="231"/>
      <c r="AC17" s="231"/>
      <c r="AD17" s="231">
        <v>0</v>
      </c>
      <c r="AE17" s="31">
        <f t="shared" ref="AE17:AE24" si="13">SUM(V17:AD17)</f>
        <v>0</v>
      </c>
      <c r="AF17" s="231">
        <v>0</v>
      </c>
      <c r="AG17" s="231"/>
      <c r="AH17" s="231"/>
      <c r="AI17" s="231"/>
      <c r="AJ17" s="231"/>
      <c r="AK17" s="231"/>
      <c r="AL17" s="231"/>
      <c r="AM17" s="231"/>
      <c r="AN17" s="231">
        <v>0</v>
      </c>
      <c r="AO17" s="31">
        <f t="shared" ref="AO17:AO24" si="14">SUM(AF17:AN17)</f>
        <v>0</v>
      </c>
      <c r="AP17" s="231">
        <v>0</v>
      </c>
      <c r="AQ17" s="231"/>
      <c r="AR17" s="231"/>
      <c r="AS17" s="231"/>
      <c r="AT17" s="231"/>
      <c r="AU17" s="231"/>
      <c r="AV17" s="231"/>
      <c r="AW17" s="231"/>
      <c r="AX17" s="231" t="s">
        <v>1085</v>
      </c>
      <c r="AY17" s="31">
        <f t="shared" ref="AY17:AY24" si="15">SUM(AP17:AX17)</f>
        <v>0</v>
      </c>
      <c r="AZ17" s="31">
        <f t="shared" si="0"/>
        <v>0</v>
      </c>
      <c r="BA17" s="31">
        <f t="shared" si="1"/>
        <v>0</v>
      </c>
      <c r="BB17" s="31">
        <f t="shared" si="2"/>
        <v>0</v>
      </c>
      <c r="BC17" s="31">
        <f t="shared" si="3"/>
        <v>0</v>
      </c>
      <c r="BD17" s="31">
        <f t="shared" si="4"/>
        <v>0</v>
      </c>
      <c r="BE17" s="87"/>
      <c r="BF17" s="87"/>
      <c r="BG17" s="87"/>
      <c r="BH17" s="87"/>
      <c r="BI17" s="87"/>
      <c r="BJ17" s="87"/>
      <c r="BK17" s="87"/>
    </row>
    <row r="18" spans="1:63" s="31" customFormat="1" ht="16.5" customHeight="1" x14ac:dyDescent="0.2">
      <c r="A18" s="231" t="s">
        <v>551</v>
      </c>
      <c r="B18" s="231" t="s">
        <v>1085</v>
      </c>
      <c r="C18" s="231"/>
      <c r="D18" s="231"/>
      <c r="E18" s="231"/>
      <c r="F18" s="231"/>
      <c r="G18" s="231"/>
      <c r="H18" s="231"/>
      <c r="I18" s="231"/>
      <c r="J18" s="231">
        <v>0</v>
      </c>
      <c r="K18" s="31">
        <f t="shared" si="11"/>
        <v>0</v>
      </c>
      <c r="L18" s="231">
        <v>0</v>
      </c>
      <c r="M18" s="231"/>
      <c r="N18" s="231"/>
      <c r="O18" s="231"/>
      <c r="P18" s="231"/>
      <c r="Q18" s="231"/>
      <c r="R18" s="231"/>
      <c r="S18" s="231"/>
      <c r="T18" s="231">
        <v>0</v>
      </c>
      <c r="U18" s="31">
        <f t="shared" si="12"/>
        <v>0</v>
      </c>
      <c r="V18" s="231">
        <v>0</v>
      </c>
      <c r="W18" s="231"/>
      <c r="X18" s="231"/>
      <c r="Y18" s="231"/>
      <c r="Z18" s="231"/>
      <c r="AA18" s="231"/>
      <c r="AB18" s="231"/>
      <c r="AC18" s="231"/>
      <c r="AD18" s="231">
        <v>0</v>
      </c>
      <c r="AE18" s="31">
        <f t="shared" si="13"/>
        <v>0</v>
      </c>
      <c r="AF18" s="231">
        <v>0</v>
      </c>
      <c r="AG18" s="231"/>
      <c r="AH18" s="231"/>
      <c r="AI18" s="231"/>
      <c r="AJ18" s="231"/>
      <c r="AK18" s="231"/>
      <c r="AL18" s="231"/>
      <c r="AM18" s="231"/>
      <c r="AN18" s="231">
        <v>0</v>
      </c>
      <c r="AO18" s="31">
        <f t="shared" si="14"/>
        <v>0</v>
      </c>
      <c r="AP18" s="231">
        <v>0</v>
      </c>
      <c r="AQ18" s="231"/>
      <c r="AR18" s="231"/>
      <c r="AS18" s="231"/>
      <c r="AT18" s="231"/>
      <c r="AU18" s="231"/>
      <c r="AV18" s="231"/>
      <c r="AW18" s="231"/>
      <c r="AX18" s="231">
        <v>0</v>
      </c>
      <c r="AY18" s="31">
        <f t="shared" si="15"/>
        <v>0</v>
      </c>
      <c r="AZ18" s="31">
        <f t="shared" si="0"/>
        <v>0</v>
      </c>
      <c r="BA18" s="31">
        <f t="shared" si="1"/>
        <v>0</v>
      </c>
      <c r="BB18" s="31">
        <f t="shared" si="2"/>
        <v>0</v>
      </c>
      <c r="BC18" s="31">
        <f t="shared" si="3"/>
        <v>0</v>
      </c>
      <c r="BD18" s="31">
        <f t="shared" si="4"/>
        <v>0</v>
      </c>
      <c r="BE18" s="87"/>
      <c r="BF18" s="87"/>
      <c r="BG18" s="87"/>
      <c r="BH18" s="87"/>
      <c r="BI18" s="87"/>
      <c r="BJ18" s="87"/>
      <c r="BK18" s="87"/>
    </row>
    <row r="19" spans="1:63" s="31" customFormat="1" ht="16.5" customHeight="1" x14ac:dyDescent="0.2">
      <c r="A19" s="1254" t="s">
        <v>89</v>
      </c>
      <c r="B19" s="231" t="s">
        <v>1085</v>
      </c>
      <c r="C19" s="231"/>
      <c r="D19" s="231"/>
      <c r="E19" s="231"/>
      <c r="F19" s="231"/>
      <c r="G19" s="231"/>
      <c r="H19" s="231"/>
      <c r="I19" s="231"/>
      <c r="J19" s="231">
        <v>0</v>
      </c>
      <c r="K19" s="31">
        <f t="shared" si="11"/>
        <v>0</v>
      </c>
      <c r="L19" s="231">
        <v>0</v>
      </c>
      <c r="M19" s="231"/>
      <c r="N19" s="231"/>
      <c r="O19" s="231"/>
      <c r="P19" s="231"/>
      <c r="Q19" s="231"/>
      <c r="R19" s="231"/>
      <c r="S19" s="231"/>
      <c r="T19" s="231">
        <v>0</v>
      </c>
      <c r="U19" s="31">
        <f t="shared" si="12"/>
        <v>0</v>
      </c>
      <c r="V19" s="231">
        <v>0</v>
      </c>
      <c r="W19" s="231"/>
      <c r="X19" s="231"/>
      <c r="Y19" s="231"/>
      <c r="Z19" s="231"/>
      <c r="AA19" s="231"/>
      <c r="AB19" s="231"/>
      <c r="AC19" s="231"/>
      <c r="AD19" s="231">
        <v>0</v>
      </c>
      <c r="AE19" s="31">
        <f t="shared" si="13"/>
        <v>0</v>
      </c>
      <c r="AF19" s="231">
        <v>0</v>
      </c>
      <c r="AG19" s="231"/>
      <c r="AH19" s="231"/>
      <c r="AI19" s="231"/>
      <c r="AJ19" s="231"/>
      <c r="AK19" s="231"/>
      <c r="AL19" s="231"/>
      <c r="AM19" s="231"/>
      <c r="AN19" s="231">
        <v>0</v>
      </c>
      <c r="AO19" s="31">
        <f t="shared" si="14"/>
        <v>0</v>
      </c>
      <c r="AP19" s="231">
        <v>0</v>
      </c>
      <c r="AQ19" s="231"/>
      <c r="AR19" s="231"/>
      <c r="AS19" s="231"/>
      <c r="AT19" s="231"/>
      <c r="AU19" s="231"/>
      <c r="AV19" s="231"/>
      <c r="AW19" s="231"/>
      <c r="AX19" s="231">
        <v>0</v>
      </c>
      <c r="AY19" s="31">
        <f t="shared" si="15"/>
        <v>0</v>
      </c>
      <c r="AZ19" s="31">
        <f>K19</f>
        <v>0</v>
      </c>
      <c r="BA19" s="31">
        <f>U19</f>
        <v>0</v>
      </c>
      <c r="BB19" s="31">
        <f>AE19</f>
        <v>0</v>
      </c>
      <c r="BC19" s="31">
        <f>AO19</f>
        <v>0</v>
      </c>
      <c r="BD19" s="31">
        <f>AY19</f>
        <v>0</v>
      </c>
      <c r="BE19" s="87"/>
      <c r="BF19" s="87"/>
      <c r="BG19" s="87"/>
      <c r="BH19" s="87"/>
      <c r="BI19" s="87"/>
      <c r="BJ19" s="87"/>
      <c r="BK19" s="87"/>
    </row>
    <row r="20" spans="1:63" s="31" customFormat="1" ht="16.5" customHeight="1" x14ac:dyDescent="0.2">
      <c r="A20" s="231" t="s">
        <v>991</v>
      </c>
      <c r="B20" s="231" t="s">
        <v>1085</v>
      </c>
      <c r="C20" s="231"/>
      <c r="D20" s="231"/>
      <c r="E20" s="231"/>
      <c r="F20" s="231"/>
      <c r="G20" s="231"/>
      <c r="H20" s="231"/>
      <c r="I20" s="231"/>
      <c r="J20" s="231">
        <v>0</v>
      </c>
      <c r="K20" s="31">
        <f t="shared" si="11"/>
        <v>0</v>
      </c>
      <c r="L20" s="231">
        <v>0</v>
      </c>
      <c r="M20" s="231"/>
      <c r="N20" s="231"/>
      <c r="O20" s="231"/>
      <c r="P20" s="231"/>
      <c r="Q20" s="231"/>
      <c r="R20" s="231"/>
      <c r="S20" s="231"/>
      <c r="T20" s="231">
        <v>0</v>
      </c>
      <c r="U20" s="31">
        <f t="shared" si="12"/>
        <v>0</v>
      </c>
      <c r="V20" s="231">
        <v>0</v>
      </c>
      <c r="W20" s="231"/>
      <c r="X20" s="231"/>
      <c r="Y20" s="231"/>
      <c r="Z20" s="231"/>
      <c r="AA20" s="231"/>
      <c r="AB20" s="231"/>
      <c r="AC20" s="231"/>
      <c r="AD20" s="231">
        <v>0</v>
      </c>
      <c r="AE20" s="31">
        <f t="shared" si="13"/>
        <v>0</v>
      </c>
      <c r="AF20" s="231">
        <v>0</v>
      </c>
      <c r="AG20" s="231"/>
      <c r="AH20" s="231"/>
      <c r="AI20" s="231"/>
      <c r="AJ20" s="231"/>
      <c r="AK20" s="231"/>
      <c r="AL20" s="231"/>
      <c r="AM20" s="231"/>
      <c r="AN20" s="231">
        <v>0</v>
      </c>
      <c r="AO20" s="31">
        <f t="shared" si="14"/>
        <v>0</v>
      </c>
      <c r="AP20" s="231">
        <v>0</v>
      </c>
      <c r="AQ20" s="231"/>
      <c r="AR20" s="231"/>
      <c r="AS20" s="231"/>
      <c r="AT20" s="231"/>
      <c r="AU20" s="231"/>
      <c r="AV20" s="231"/>
      <c r="AW20" s="231"/>
      <c r="AX20" s="231">
        <v>0</v>
      </c>
      <c r="AY20" s="31">
        <f t="shared" si="15"/>
        <v>0</v>
      </c>
      <c r="AZ20" s="31">
        <f>K20</f>
        <v>0</v>
      </c>
      <c r="BA20" s="31">
        <f>U20</f>
        <v>0</v>
      </c>
      <c r="BB20" s="31">
        <f>AE20</f>
        <v>0</v>
      </c>
      <c r="BC20" s="31">
        <f>AO20</f>
        <v>0</v>
      </c>
      <c r="BD20" s="31">
        <f>AY20</f>
        <v>0</v>
      </c>
      <c r="BE20" s="87"/>
      <c r="BF20" s="87"/>
      <c r="BG20" s="87"/>
      <c r="BH20" s="87"/>
      <c r="BI20" s="87"/>
      <c r="BJ20" s="87"/>
      <c r="BK20" s="87"/>
    </row>
    <row r="21" spans="1:63" s="31" customFormat="1" ht="16.5" customHeight="1" x14ac:dyDescent="0.2">
      <c r="A21" s="231" t="s">
        <v>169</v>
      </c>
      <c r="B21" s="231" t="s">
        <v>1085</v>
      </c>
      <c r="C21" s="231"/>
      <c r="D21" s="231"/>
      <c r="E21" s="231"/>
      <c r="F21" s="231"/>
      <c r="G21" s="231"/>
      <c r="H21" s="231"/>
      <c r="I21" s="231"/>
      <c r="J21" s="231">
        <v>0</v>
      </c>
      <c r="K21" s="31">
        <f t="shared" si="11"/>
        <v>0</v>
      </c>
      <c r="L21" s="231">
        <v>0</v>
      </c>
      <c r="M21" s="231"/>
      <c r="N21" s="231"/>
      <c r="O21" s="231"/>
      <c r="P21" s="231"/>
      <c r="Q21" s="231"/>
      <c r="R21" s="231"/>
      <c r="S21" s="231"/>
      <c r="T21" s="231">
        <v>0</v>
      </c>
      <c r="U21" s="31">
        <f t="shared" si="12"/>
        <v>0</v>
      </c>
      <c r="V21" s="231">
        <v>0</v>
      </c>
      <c r="W21" s="231"/>
      <c r="X21" s="231"/>
      <c r="Y21" s="231"/>
      <c r="Z21" s="231"/>
      <c r="AA21" s="231"/>
      <c r="AB21" s="231"/>
      <c r="AC21" s="231"/>
      <c r="AD21" s="231">
        <v>0</v>
      </c>
      <c r="AE21" s="31">
        <f t="shared" si="13"/>
        <v>0</v>
      </c>
      <c r="AF21" s="231">
        <v>0</v>
      </c>
      <c r="AG21" s="231"/>
      <c r="AH21" s="231"/>
      <c r="AI21" s="231"/>
      <c r="AJ21" s="231"/>
      <c r="AK21" s="231"/>
      <c r="AL21" s="231"/>
      <c r="AM21" s="231"/>
      <c r="AN21" s="231">
        <v>0</v>
      </c>
      <c r="AO21" s="31">
        <f t="shared" si="14"/>
        <v>0</v>
      </c>
      <c r="AP21" s="231">
        <v>0</v>
      </c>
      <c r="AQ21" s="231"/>
      <c r="AR21" s="231"/>
      <c r="AS21" s="231"/>
      <c r="AT21" s="231"/>
      <c r="AU21" s="231"/>
      <c r="AV21" s="231"/>
      <c r="AW21" s="231"/>
      <c r="AX21" s="231"/>
      <c r="AY21" s="31">
        <f t="shared" si="15"/>
        <v>0</v>
      </c>
      <c r="AZ21" s="31">
        <f t="shared" si="0"/>
        <v>0</v>
      </c>
      <c r="BA21" s="31">
        <f t="shared" si="1"/>
        <v>0</v>
      </c>
      <c r="BB21" s="31">
        <f t="shared" si="2"/>
        <v>0</v>
      </c>
      <c r="BC21" s="31">
        <f t="shared" si="3"/>
        <v>0</v>
      </c>
      <c r="BD21" s="31">
        <f t="shared" si="4"/>
        <v>0</v>
      </c>
      <c r="BE21" s="87"/>
      <c r="BF21" s="87"/>
      <c r="BG21" s="87"/>
      <c r="BH21" s="87"/>
      <c r="BI21" s="87"/>
      <c r="BJ21" s="87"/>
      <c r="BK21" s="87"/>
    </row>
    <row r="22" spans="1:63" s="31" customFormat="1" ht="16.5" customHeight="1" x14ac:dyDescent="0.2">
      <c r="A22" s="231" t="s">
        <v>170</v>
      </c>
      <c r="B22" s="231" t="s">
        <v>1085</v>
      </c>
      <c r="C22" s="231"/>
      <c r="D22" s="231"/>
      <c r="E22" s="231"/>
      <c r="F22" s="231"/>
      <c r="G22" s="231"/>
      <c r="H22" s="231"/>
      <c r="I22" s="231"/>
      <c r="J22" s="231">
        <v>0</v>
      </c>
      <c r="K22" s="31">
        <f t="shared" si="11"/>
        <v>0</v>
      </c>
      <c r="L22" s="231">
        <v>0</v>
      </c>
      <c r="M22" s="231"/>
      <c r="N22" s="231"/>
      <c r="O22" s="231"/>
      <c r="P22" s="231"/>
      <c r="Q22" s="231"/>
      <c r="R22" s="231"/>
      <c r="S22" s="231"/>
      <c r="T22" s="231">
        <v>0</v>
      </c>
      <c r="U22" s="31">
        <f t="shared" si="12"/>
        <v>0</v>
      </c>
      <c r="V22" s="231">
        <v>0</v>
      </c>
      <c r="W22" s="231"/>
      <c r="X22" s="231"/>
      <c r="Y22" s="231"/>
      <c r="Z22" s="231"/>
      <c r="AA22" s="231"/>
      <c r="AB22" s="231"/>
      <c r="AC22" s="231"/>
      <c r="AD22" s="231">
        <v>0</v>
      </c>
      <c r="AE22" s="31">
        <f t="shared" si="13"/>
        <v>0</v>
      </c>
      <c r="AF22" s="231">
        <v>0</v>
      </c>
      <c r="AG22" s="231"/>
      <c r="AH22" s="231"/>
      <c r="AI22" s="231"/>
      <c r="AJ22" s="231"/>
      <c r="AK22" s="231"/>
      <c r="AL22" s="231"/>
      <c r="AM22" s="231"/>
      <c r="AN22" s="231">
        <v>0</v>
      </c>
      <c r="AO22" s="31">
        <f t="shared" si="14"/>
        <v>0</v>
      </c>
      <c r="AP22" s="231">
        <v>0</v>
      </c>
      <c r="AQ22" s="231"/>
      <c r="AR22" s="231"/>
      <c r="AS22" s="231"/>
      <c r="AT22" s="231"/>
      <c r="AU22" s="231"/>
      <c r="AV22" s="231"/>
      <c r="AW22" s="231"/>
      <c r="AX22" s="231">
        <v>0</v>
      </c>
      <c r="AY22" s="31">
        <f t="shared" si="15"/>
        <v>0</v>
      </c>
      <c r="AZ22" s="31">
        <f t="shared" si="0"/>
        <v>0</v>
      </c>
      <c r="BA22" s="31">
        <f t="shared" si="1"/>
        <v>0</v>
      </c>
      <c r="BB22" s="31">
        <f t="shared" si="2"/>
        <v>0</v>
      </c>
      <c r="BC22" s="31">
        <f t="shared" si="3"/>
        <v>0</v>
      </c>
      <c r="BD22" s="31">
        <f t="shared" si="4"/>
        <v>0</v>
      </c>
      <c r="BE22" s="87"/>
      <c r="BF22" s="87"/>
      <c r="BG22" s="87"/>
      <c r="BH22" s="87"/>
      <c r="BI22" s="87"/>
      <c r="BJ22" s="87"/>
      <c r="BK22" s="87"/>
    </row>
    <row r="23" spans="1:63" s="31" customFormat="1" ht="16.5" customHeight="1" x14ac:dyDescent="0.2">
      <c r="A23" s="231" t="s">
        <v>31</v>
      </c>
      <c r="B23" s="231" t="s">
        <v>1085</v>
      </c>
      <c r="C23" s="231"/>
      <c r="D23" s="231"/>
      <c r="E23" s="231"/>
      <c r="F23" s="231"/>
      <c r="G23" s="231"/>
      <c r="H23" s="231"/>
      <c r="I23" s="231"/>
      <c r="J23" s="231"/>
      <c r="K23" s="31">
        <f t="shared" si="11"/>
        <v>0</v>
      </c>
      <c r="L23" s="231">
        <v>0</v>
      </c>
      <c r="M23" s="231"/>
      <c r="N23" s="231"/>
      <c r="O23" s="231"/>
      <c r="P23" s="231"/>
      <c r="Q23" s="231"/>
      <c r="R23" s="231"/>
      <c r="S23" s="231"/>
      <c r="T23" s="231">
        <v>0</v>
      </c>
      <c r="U23" s="31">
        <f t="shared" si="12"/>
        <v>0</v>
      </c>
      <c r="V23" s="231">
        <v>0</v>
      </c>
      <c r="W23" s="231"/>
      <c r="X23" s="231"/>
      <c r="Y23" s="231"/>
      <c r="Z23" s="231"/>
      <c r="AA23" s="231"/>
      <c r="AB23" s="231"/>
      <c r="AC23" s="231"/>
      <c r="AD23" s="231">
        <v>0</v>
      </c>
      <c r="AE23" s="31">
        <f t="shared" si="13"/>
        <v>0</v>
      </c>
      <c r="AF23" s="231">
        <v>0</v>
      </c>
      <c r="AG23" s="231"/>
      <c r="AH23" s="231"/>
      <c r="AI23" s="231"/>
      <c r="AJ23" s="231"/>
      <c r="AK23" s="231"/>
      <c r="AL23" s="231"/>
      <c r="AM23" s="231"/>
      <c r="AN23" s="231">
        <v>0</v>
      </c>
      <c r="AO23" s="31">
        <f t="shared" si="14"/>
        <v>0</v>
      </c>
      <c r="AP23" s="231">
        <v>0</v>
      </c>
      <c r="AQ23" s="231"/>
      <c r="AR23" s="231"/>
      <c r="AS23" s="231"/>
      <c r="AT23" s="231"/>
      <c r="AU23" s="231"/>
      <c r="AV23" s="231"/>
      <c r="AW23" s="231"/>
      <c r="AX23" s="231">
        <v>0</v>
      </c>
      <c r="AY23" s="31">
        <f t="shared" si="15"/>
        <v>0</v>
      </c>
      <c r="AZ23" s="31">
        <f t="shared" si="0"/>
        <v>0</v>
      </c>
      <c r="BA23" s="31">
        <f t="shared" si="1"/>
        <v>0</v>
      </c>
      <c r="BB23" s="31">
        <f t="shared" si="2"/>
        <v>0</v>
      </c>
      <c r="BC23" s="31">
        <f t="shared" si="3"/>
        <v>0</v>
      </c>
      <c r="BD23" s="31">
        <f t="shared" si="4"/>
        <v>0</v>
      </c>
      <c r="BE23" s="87"/>
      <c r="BF23" s="87"/>
      <c r="BG23" s="87"/>
      <c r="BH23" s="87"/>
      <c r="BI23" s="87"/>
      <c r="BJ23" s="87"/>
      <c r="BK23" s="87"/>
    </row>
    <row r="24" spans="1:63" s="34" customFormat="1" ht="16.5" customHeight="1" x14ac:dyDescent="0.2">
      <c r="A24" s="232" t="s">
        <v>32</v>
      </c>
      <c r="B24" s="232" t="s">
        <v>1085</v>
      </c>
      <c r="C24" s="232"/>
      <c r="D24" s="232"/>
      <c r="E24" s="232"/>
      <c r="F24" s="232"/>
      <c r="G24" s="232"/>
      <c r="H24" s="232"/>
      <c r="I24" s="232"/>
      <c r="J24" s="232">
        <v>0</v>
      </c>
      <c r="K24" s="34">
        <f t="shared" si="11"/>
        <v>0</v>
      </c>
      <c r="L24" s="232">
        <v>0</v>
      </c>
      <c r="M24" s="232"/>
      <c r="N24" s="232"/>
      <c r="O24" s="232"/>
      <c r="P24" s="232"/>
      <c r="Q24" s="232"/>
      <c r="R24" s="232"/>
      <c r="S24" s="232"/>
      <c r="T24" s="232">
        <v>0</v>
      </c>
      <c r="U24" s="34">
        <f t="shared" si="12"/>
        <v>0</v>
      </c>
      <c r="V24" s="232">
        <v>0</v>
      </c>
      <c r="W24" s="232"/>
      <c r="X24" s="232"/>
      <c r="Y24" s="232"/>
      <c r="Z24" s="232"/>
      <c r="AA24" s="232"/>
      <c r="AB24" s="232"/>
      <c r="AC24" s="232"/>
      <c r="AD24" s="232">
        <v>0</v>
      </c>
      <c r="AE24" s="34">
        <f t="shared" si="13"/>
        <v>0</v>
      </c>
      <c r="AF24" s="232">
        <v>0</v>
      </c>
      <c r="AG24" s="232"/>
      <c r="AH24" s="232"/>
      <c r="AI24" s="232"/>
      <c r="AJ24" s="232"/>
      <c r="AK24" s="232"/>
      <c r="AL24" s="232"/>
      <c r="AM24" s="232"/>
      <c r="AN24" s="232">
        <v>0</v>
      </c>
      <c r="AO24" s="34">
        <f t="shared" si="14"/>
        <v>0</v>
      </c>
      <c r="AP24" s="232">
        <v>0</v>
      </c>
      <c r="AQ24" s="232"/>
      <c r="AR24" s="232"/>
      <c r="AS24" s="232"/>
      <c r="AT24" s="232"/>
      <c r="AU24" s="232"/>
      <c r="AV24" s="232"/>
      <c r="AW24" s="232"/>
      <c r="AX24" s="232">
        <v>0</v>
      </c>
      <c r="AY24" s="34">
        <f t="shared" si="15"/>
        <v>0</v>
      </c>
      <c r="AZ24" s="34">
        <f t="shared" si="0"/>
        <v>0</v>
      </c>
      <c r="BA24" s="34">
        <f t="shared" si="1"/>
        <v>0</v>
      </c>
      <c r="BB24" s="34">
        <f t="shared" si="2"/>
        <v>0</v>
      </c>
      <c r="BC24" s="34">
        <f t="shared" si="3"/>
        <v>0</v>
      </c>
      <c r="BD24" s="34">
        <f t="shared" si="4"/>
        <v>0</v>
      </c>
      <c r="BE24" s="194"/>
      <c r="BF24" s="194"/>
      <c r="BG24" s="194"/>
      <c r="BH24" s="194"/>
      <c r="BI24" s="194"/>
      <c r="BJ24" s="194"/>
      <c r="BK24" s="194"/>
    </row>
    <row r="25" spans="1:63" s="36" customFormat="1" ht="16.5" customHeight="1" x14ac:dyDescent="0.2">
      <c r="A25" s="36" t="s">
        <v>352</v>
      </c>
      <c r="B25" s="41">
        <f>SUM(B16:B24)</f>
        <v>-130</v>
      </c>
      <c r="C25" s="41">
        <f t="shared" ref="C25:K25" si="16">SUM(C16:C24)</f>
        <v>-36</v>
      </c>
      <c r="D25" s="41">
        <f t="shared" si="16"/>
        <v>0</v>
      </c>
      <c r="E25" s="41">
        <f t="shared" si="16"/>
        <v>0</v>
      </c>
      <c r="F25" s="41">
        <f t="shared" si="16"/>
        <v>0</v>
      </c>
      <c r="G25" s="41">
        <f t="shared" si="16"/>
        <v>0</v>
      </c>
      <c r="H25" s="41">
        <f t="shared" si="16"/>
        <v>-7</v>
      </c>
      <c r="I25" s="41">
        <f t="shared" si="16"/>
        <v>-7</v>
      </c>
      <c r="J25" s="41">
        <f t="shared" si="16"/>
        <v>0</v>
      </c>
      <c r="K25" s="41">
        <f t="shared" si="16"/>
        <v>-180</v>
      </c>
      <c r="L25" s="41">
        <f t="shared" ref="L25:AY25" si="17">SUM(L16:L24)</f>
        <v>-160</v>
      </c>
      <c r="M25" s="41">
        <f t="shared" si="17"/>
        <v>-37</v>
      </c>
      <c r="N25" s="41">
        <f t="shared" si="17"/>
        <v>0</v>
      </c>
      <c r="O25" s="41">
        <f t="shared" si="17"/>
        <v>0</v>
      </c>
      <c r="P25" s="41">
        <f t="shared" si="17"/>
        <v>0</v>
      </c>
      <c r="Q25" s="41">
        <f t="shared" si="17"/>
        <v>0</v>
      </c>
      <c r="R25" s="41">
        <f t="shared" si="17"/>
        <v>-7</v>
      </c>
      <c r="S25" s="41">
        <f t="shared" si="17"/>
        <v>-5</v>
      </c>
      <c r="T25" s="41">
        <f t="shared" si="17"/>
        <v>0</v>
      </c>
      <c r="U25" s="41">
        <f t="shared" si="17"/>
        <v>-209</v>
      </c>
      <c r="V25" s="41">
        <f t="shared" si="17"/>
        <v>-161</v>
      </c>
      <c r="W25" s="41">
        <f t="shared" si="17"/>
        <v>-56</v>
      </c>
      <c r="X25" s="41">
        <f t="shared" si="17"/>
        <v>0</v>
      </c>
      <c r="Y25" s="41">
        <f t="shared" si="17"/>
        <v>0</v>
      </c>
      <c r="Z25" s="41">
        <f t="shared" si="17"/>
        <v>0</v>
      </c>
      <c r="AA25" s="41">
        <f t="shared" si="17"/>
        <v>0</v>
      </c>
      <c r="AB25" s="41">
        <f t="shared" si="17"/>
        <v>-7</v>
      </c>
      <c r="AC25" s="41">
        <f t="shared" si="17"/>
        <v>-14</v>
      </c>
      <c r="AD25" s="41">
        <f t="shared" si="17"/>
        <v>0</v>
      </c>
      <c r="AE25" s="41">
        <f t="shared" si="17"/>
        <v>-238</v>
      </c>
      <c r="AF25" s="41">
        <f t="shared" si="17"/>
        <v>-138</v>
      </c>
      <c r="AG25" s="41">
        <f t="shared" si="17"/>
        <v>-69</v>
      </c>
      <c r="AH25" s="41">
        <f t="shared" si="17"/>
        <v>0</v>
      </c>
      <c r="AI25" s="41">
        <f t="shared" si="17"/>
        <v>0</v>
      </c>
      <c r="AJ25" s="41">
        <f t="shared" si="17"/>
        <v>0</v>
      </c>
      <c r="AK25" s="41">
        <f t="shared" si="17"/>
        <v>0</v>
      </c>
      <c r="AL25" s="41">
        <f t="shared" si="17"/>
        <v>-8</v>
      </c>
      <c r="AM25" s="41">
        <f t="shared" si="17"/>
        <v>-17</v>
      </c>
      <c r="AN25" s="41">
        <f t="shared" si="17"/>
        <v>0</v>
      </c>
      <c r="AO25" s="41">
        <f t="shared" si="17"/>
        <v>-232</v>
      </c>
      <c r="AP25" s="41">
        <f t="shared" si="17"/>
        <v>-125</v>
      </c>
      <c r="AQ25" s="41">
        <f t="shared" si="17"/>
        <v>-80</v>
      </c>
      <c r="AR25" s="41">
        <f t="shared" si="17"/>
        <v>0</v>
      </c>
      <c r="AS25" s="41">
        <f t="shared" si="17"/>
        <v>0</v>
      </c>
      <c r="AT25" s="41">
        <f t="shared" si="17"/>
        <v>0</v>
      </c>
      <c r="AU25" s="41">
        <f t="shared" si="17"/>
        <v>0</v>
      </c>
      <c r="AV25" s="41">
        <f t="shared" si="17"/>
        <v>-7</v>
      </c>
      <c r="AW25" s="41">
        <f t="shared" si="17"/>
        <v>-28</v>
      </c>
      <c r="AX25" s="41">
        <f t="shared" si="17"/>
        <v>0</v>
      </c>
      <c r="AY25" s="41">
        <f t="shared" si="17"/>
        <v>-240</v>
      </c>
      <c r="AZ25" s="115">
        <f>K25</f>
        <v>-180</v>
      </c>
      <c r="BA25" s="115">
        <f>U25</f>
        <v>-209</v>
      </c>
      <c r="BB25" s="115">
        <f>AE25</f>
        <v>-238</v>
      </c>
      <c r="BC25" s="115">
        <f>AO25</f>
        <v>-232</v>
      </c>
      <c r="BD25" s="115">
        <f>AY25</f>
        <v>-240</v>
      </c>
      <c r="BE25" s="82"/>
      <c r="BF25" s="82"/>
      <c r="BG25" s="82"/>
      <c r="BH25" s="82"/>
      <c r="BI25" s="82"/>
      <c r="BJ25" s="82"/>
      <c r="BK25" s="82"/>
    </row>
    <row r="26" spans="1:63" s="89" customFormat="1" ht="16.5" customHeight="1" x14ac:dyDescent="0.2">
      <c r="A26" s="89" t="s">
        <v>33</v>
      </c>
      <c r="B26" s="89">
        <f>B14+B25</f>
        <v>1119</v>
      </c>
      <c r="C26" s="89">
        <f t="shared" ref="C26:K26" si="18">C14+C25</f>
        <v>1</v>
      </c>
      <c r="D26" s="89">
        <f t="shared" si="18"/>
        <v>0</v>
      </c>
      <c r="E26" s="89">
        <f t="shared" si="18"/>
        <v>0</v>
      </c>
      <c r="F26" s="89">
        <f t="shared" si="18"/>
        <v>0</v>
      </c>
      <c r="G26" s="89">
        <f t="shared" si="18"/>
        <v>-41</v>
      </c>
      <c r="H26" s="89">
        <f t="shared" si="18"/>
        <v>0</v>
      </c>
      <c r="I26" s="89">
        <f t="shared" si="18"/>
        <v>-7</v>
      </c>
      <c r="J26" s="89">
        <f t="shared" si="18"/>
        <v>25</v>
      </c>
      <c r="K26" s="89">
        <f t="shared" si="18"/>
        <v>1097</v>
      </c>
      <c r="L26" s="89">
        <f t="shared" ref="L26:AY26" si="19">L14+L25</f>
        <v>1185</v>
      </c>
      <c r="M26" s="89">
        <f t="shared" si="19"/>
        <v>8</v>
      </c>
      <c r="N26" s="89">
        <f t="shared" si="19"/>
        <v>0</v>
      </c>
      <c r="O26" s="89">
        <f t="shared" si="19"/>
        <v>0</v>
      </c>
      <c r="P26" s="89">
        <f t="shared" si="19"/>
        <v>0</v>
      </c>
      <c r="Q26" s="89">
        <f t="shared" si="19"/>
        <v>-83</v>
      </c>
      <c r="R26" s="89">
        <f t="shared" si="19"/>
        <v>0</v>
      </c>
      <c r="S26" s="89">
        <f t="shared" si="19"/>
        <v>-5</v>
      </c>
      <c r="T26" s="89">
        <f t="shared" si="19"/>
        <v>0</v>
      </c>
      <c r="U26" s="89">
        <f t="shared" si="19"/>
        <v>1105</v>
      </c>
      <c r="V26" s="89">
        <f t="shared" si="19"/>
        <v>1189</v>
      </c>
      <c r="W26" s="89">
        <f t="shared" si="19"/>
        <v>-18</v>
      </c>
      <c r="X26" s="89">
        <f t="shared" si="19"/>
        <v>0</v>
      </c>
      <c r="Y26" s="89">
        <f t="shared" si="19"/>
        <v>0</v>
      </c>
      <c r="Z26" s="89">
        <f t="shared" si="19"/>
        <v>0</v>
      </c>
      <c r="AA26" s="89">
        <f t="shared" si="19"/>
        <v>-52</v>
      </c>
      <c r="AB26" s="89">
        <f t="shared" si="19"/>
        <v>0</v>
      </c>
      <c r="AC26" s="89">
        <f t="shared" si="19"/>
        <v>-14</v>
      </c>
      <c r="AD26" s="89">
        <f t="shared" si="19"/>
        <v>0</v>
      </c>
      <c r="AE26" s="89">
        <f t="shared" si="19"/>
        <v>1105</v>
      </c>
      <c r="AF26" s="89">
        <f t="shared" si="19"/>
        <v>1185</v>
      </c>
      <c r="AG26" s="89">
        <f t="shared" si="19"/>
        <v>-34</v>
      </c>
      <c r="AH26" s="89">
        <f t="shared" si="19"/>
        <v>0</v>
      </c>
      <c r="AI26" s="89">
        <f t="shared" si="19"/>
        <v>0</v>
      </c>
      <c r="AJ26" s="89">
        <f t="shared" si="19"/>
        <v>0</v>
      </c>
      <c r="AK26" s="89">
        <f t="shared" si="19"/>
        <v>-84</v>
      </c>
      <c r="AL26" s="89">
        <f t="shared" si="19"/>
        <v>0</v>
      </c>
      <c r="AM26" s="89">
        <f t="shared" si="19"/>
        <v>-17</v>
      </c>
      <c r="AN26" s="89">
        <f t="shared" si="19"/>
        <v>0</v>
      </c>
      <c r="AO26" s="89">
        <f t="shared" si="19"/>
        <v>1050</v>
      </c>
      <c r="AP26" s="89">
        <f t="shared" si="19"/>
        <v>976</v>
      </c>
      <c r="AQ26" s="89">
        <f t="shared" si="19"/>
        <v>-36</v>
      </c>
      <c r="AR26" s="89">
        <f t="shared" si="19"/>
        <v>0</v>
      </c>
      <c r="AS26" s="89">
        <f t="shared" si="19"/>
        <v>-96</v>
      </c>
      <c r="AT26" s="89">
        <f t="shared" si="19"/>
        <v>0</v>
      </c>
      <c r="AU26" s="89">
        <f t="shared" si="19"/>
        <v>-125</v>
      </c>
      <c r="AV26" s="89">
        <f t="shared" si="19"/>
        <v>0</v>
      </c>
      <c r="AW26" s="89">
        <f t="shared" si="19"/>
        <v>-28</v>
      </c>
      <c r="AX26" s="89">
        <f t="shared" si="19"/>
        <v>59</v>
      </c>
      <c r="AY26" s="89">
        <f t="shared" si="19"/>
        <v>750</v>
      </c>
      <c r="AZ26" s="89">
        <f t="shared" si="0"/>
        <v>1097</v>
      </c>
      <c r="BA26" s="89">
        <f t="shared" si="1"/>
        <v>1105</v>
      </c>
      <c r="BB26" s="89">
        <f t="shared" si="2"/>
        <v>1105</v>
      </c>
      <c r="BC26" s="89">
        <f t="shared" si="3"/>
        <v>1050</v>
      </c>
      <c r="BD26" s="89">
        <f t="shared" si="4"/>
        <v>750</v>
      </c>
      <c r="BE26" s="196"/>
      <c r="BF26" s="196"/>
      <c r="BG26" s="196"/>
      <c r="BH26" s="196"/>
      <c r="BI26" s="196"/>
      <c r="BJ26" s="196"/>
      <c r="BK26" s="196"/>
    </row>
    <row r="27" spans="1:63" s="34" customFormat="1" ht="16.5" customHeight="1" x14ac:dyDescent="0.2">
      <c r="A27" s="34" t="s">
        <v>864</v>
      </c>
      <c r="B27" s="232">
        <v>436</v>
      </c>
      <c r="C27" s="71">
        <f>IF('Oper Lease Adjust 1'!G98&gt;0,'Oper Lease Adjust 1'!G98,-'Oper Lease Adjust 1'!H98)</f>
        <v>0</v>
      </c>
      <c r="D27" s="232">
        <v>0</v>
      </c>
      <c r="E27" s="232">
        <v>0</v>
      </c>
      <c r="F27" s="232">
        <v>0</v>
      </c>
      <c r="G27" s="232">
        <v>-16</v>
      </c>
      <c r="H27" s="232">
        <v>0</v>
      </c>
      <c r="I27" s="232">
        <v>-3</v>
      </c>
      <c r="J27" s="232">
        <v>10</v>
      </c>
      <c r="K27" s="34">
        <f>SUM(B27:J27)</f>
        <v>427</v>
      </c>
      <c r="L27" s="232">
        <v>450</v>
      </c>
      <c r="M27" s="71">
        <f>IF('Oper Lease Adjust 2'!G98&gt;0,'Oper Lease Adjust 2'!G98,-'Oper Lease Adjust 2'!H98)</f>
        <v>3</v>
      </c>
      <c r="N27" s="232">
        <v>0</v>
      </c>
      <c r="O27" s="232">
        <v>0</v>
      </c>
      <c r="P27" s="232">
        <v>0</v>
      </c>
      <c r="Q27" s="232">
        <v>-32</v>
      </c>
      <c r="R27" s="232">
        <v>0</v>
      </c>
      <c r="S27" s="232">
        <v>-2</v>
      </c>
      <c r="T27" s="232">
        <v>0</v>
      </c>
      <c r="U27" s="34">
        <f>SUM(L27:T27)</f>
        <v>419</v>
      </c>
      <c r="V27" s="232">
        <v>455</v>
      </c>
      <c r="W27" s="71">
        <f>IF('Oper Lease Adjust 3'!G98&gt;0,'Oper Lease Adjust 3'!G98,-'Oper Lease Adjust 3'!H98)</f>
        <v>-7</v>
      </c>
      <c r="X27" s="232">
        <v>0</v>
      </c>
      <c r="Y27" s="232">
        <v>0</v>
      </c>
      <c r="Z27" s="232">
        <v>0</v>
      </c>
      <c r="AA27" s="232">
        <v>-20</v>
      </c>
      <c r="AB27" s="232">
        <v>0</v>
      </c>
      <c r="AC27" s="232">
        <v>-5</v>
      </c>
      <c r="AD27" s="232">
        <v>0</v>
      </c>
      <c r="AE27" s="34">
        <f>SUM(V27:AD27)</f>
        <v>423</v>
      </c>
      <c r="AF27" s="232">
        <v>465</v>
      </c>
      <c r="AG27" s="71">
        <f>IF('Oper Lease Adjust 4'!G98&gt;0,'Oper Lease Adjust 4'!G98,-'Oper Lease Adjust 4'!H98)</f>
        <v>-13</v>
      </c>
      <c r="AH27" s="232">
        <v>0</v>
      </c>
      <c r="AI27" s="232">
        <v>0</v>
      </c>
      <c r="AJ27" s="232">
        <v>0</v>
      </c>
      <c r="AK27" s="232">
        <v>-33</v>
      </c>
      <c r="AL27" s="232">
        <v>0</v>
      </c>
      <c r="AM27" s="232">
        <v>-7</v>
      </c>
      <c r="AN27" s="232">
        <v>0</v>
      </c>
      <c r="AO27" s="34">
        <f>SUM(AF27:AN27)</f>
        <v>412</v>
      </c>
      <c r="AP27" s="232">
        <v>376</v>
      </c>
      <c r="AQ27" s="71">
        <f>IF('Oper Lease Adjust 5'!G98&gt;0,'Oper Lease Adjust 5'!G98,-'Oper Lease Adjust 5'!H98)</f>
        <v>-14</v>
      </c>
      <c r="AR27" s="232">
        <v>0</v>
      </c>
      <c r="AS27" s="232">
        <v>-37</v>
      </c>
      <c r="AT27" s="232">
        <v>0</v>
      </c>
      <c r="AU27" s="232">
        <v>-48</v>
      </c>
      <c r="AV27" s="232">
        <v>0</v>
      </c>
      <c r="AW27" s="232">
        <v>-11</v>
      </c>
      <c r="AX27" s="232">
        <v>23</v>
      </c>
      <c r="AY27" s="34">
        <f>SUM(AP27:AX27)</f>
        <v>289</v>
      </c>
      <c r="AZ27" s="39">
        <f t="shared" si="0"/>
        <v>427</v>
      </c>
      <c r="BA27" s="39">
        <f t="shared" si="1"/>
        <v>419</v>
      </c>
      <c r="BB27" s="39">
        <f t="shared" si="2"/>
        <v>423</v>
      </c>
      <c r="BC27" s="39">
        <f t="shared" si="3"/>
        <v>412</v>
      </c>
      <c r="BD27" s="39">
        <f t="shared" si="4"/>
        <v>289</v>
      </c>
      <c r="BE27" s="194"/>
      <c r="BF27" s="194"/>
      <c r="BG27" s="194"/>
      <c r="BH27" s="194"/>
      <c r="BI27" s="194"/>
      <c r="BJ27" s="194"/>
      <c r="BK27" s="194"/>
    </row>
    <row r="28" spans="1:63" s="89" customFormat="1" ht="16.5" customHeight="1" x14ac:dyDescent="0.2">
      <c r="A28" s="121" t="s">
        <v>303</v>
      </c>
      <c r="B28" s="89">
        <f>B26-B27</f>
        <v>683</v>
      </c>
      <c r="C28" s="89">
        <f t="shared" ref="C28:K28" si="20">C26-C27</f>
        <v>1</v>
      </c>
      <c r="D28" s="89">
        <f t="shared" si="20"/>
        <v>0</v>
      </c>
      <c r="E28" s="89">
        <f t="shared" si="20"/>
        <v>0</v>
      </c>
      <c r="F28" s="89">
        <f t="shared" si="20"/>
        <v>0</v>
      </c>
      <c r="G28" s="89">
        <f t="shared" si="20"/>
        <v>-25</v>
      </c>
      <c r="H28" s="89">
        <f t="shared" si="20"/>
        <v>0</v>
      </c>
      <c r="I28" s="89">
        <f t="shared" si="20"/>
        <v>-4</v>
      </c>
      <c r="J28" s="89">
        <f t="shared" si="20"/>
        <v>15</v>
      </c>
      <c r="K28" s="89">
        <f t="shared" si="20"/>
        <v>670</v>
      </c>
      <c r="L28" s="89">
        <f t="shared" ref="L28:AY28" si="21">L26-L27</f>
        <v>735</v>
      </c>
      <c r="M28" s="89">
        <f t="shared" si="21"/>
        <v>5</v>
      </c>
      <c r="N28" s="89">
        <f t="shared" si="21"/>
        <v>0</v>
      </c>
      <c r="O28" s="89">
        <f t="shared" si="21"/>
        <v>0</v>
      </c>
      <c r="P28" s="89">
        <f t="shared" si="21"/>
        <v>0</v>
      </c>
      <c r="Q28" s="89">
        <f t="shared" si="21"/>
        <v>-51</v>
      </c>
      <c r="R28" s="89">
        <f t="shared" si="21"/>
        <v>0</v>
      </c>
      <c r="S28" s="89">
        <f t="shared" si="21"/>
        <v>-3</v>
      </c>
      <c r="T28" s="89">
        <f t="shared" si="21"/>
        <v>0</v>
      </c>
      <c r="U28" s="89">
        <f t="shared" si="21"/>
        <v>686</v>
      </c>
      <c r="V28" s="89">
        <f t="shared" si="21"/>
        <v>734</v>
      </c>
      <c r="W28" s="89">
        <f t="shared" si="21"/>
        <v>-11</v>
      </c>
      <c r="X28" s="89">
        <f t="shared" si="21"/>
        <v>0</v>
      </c>
      <c r="Y28" s="89">
        <f t="shared" si="21"/>
        <v>0</v>
      </c>
      <c r="Z28" s="89">
        <f t="shared" si="21"/>
        <v>0</v>
      </c>
      <c r="AA28" s="89">
        <f t="shared" si="21"/>
        <v>-32</v>
      </c>
      <c r="AB28" s="89">
        <f t="shared" si="21"/>
        <v>0</v>
      </c>
      <c r="AC28" s="89">
        <f t="shared" si="21"/>
        <v>-9</v>
      </c>
      <c r="AD28" s="89">
        <f t="shared" si="21"/>
        <v>0</v>
      </c>
      <c r="AE28" s="89">
        <f t="shared" si="21"/>
        <v>682</v>
      </c>
      <c r="AF28" s="89">
        <f t="shared" si="21"/>
        <v>720</v>
      </c>
      <c r="AG28" s="89">
        <f t="shared" si="21"/>
        <v>-21</v>
      </c>
      <c r="AH28" s="89">
        <f t="shared" si="21"/>
        <v>0</v>
      </c>
      <c r="AI28" s="89">
        <f t="shared" si="21"/>
        <v>0</v>
      </c>
      <c r="AJ28" s="89">
        <f t="shared" si="21"/>
        <v>0</v>
      </c>
      <c r="AK28" s="89">
        <f t="shared" si="21"/>
        <v>-51</v>
      </c>
      <c r="AL28" s="89">
        <f t="shared" si="21"/>
        <v>0</v>
      </c>
      <c r="AM28" s="89">
        <f t="shared" si="21"/>
        <v>-10</v>
      </c>
      <c r="AN28" s="89">
        <f t="shared" si="21"/>
        <v>0</v>
      </c>
      <c r="AO28" s="89">
        <f t="shared" si="21"/>
        <v>638</v>
      </c>
      <c r="AP28" s="89">
        <f t="shared" si="21"/>
        <v>600</v>
      </c>
      <c r="AQ28" s="89">
        <f t="shared" si="21"/>
        <v>-22</v>
      </c>
      <c r="AR28" s="89">
        <f t="shared" si="21"/>
        <v>0</v>
      </c>
      <c r="AS28" s="89">
        <f t="shared" si="21"/>
        <v>-59</v>
      </c>
      <c r="AT28" s="89">
        <f t="shared" si="21"/>
        <v>0</v>
      </c>
      <c r="AU28" s="89">
        <f t="shared" si="21"/>
        <v>-77</v>
      </c>
      <c r="AV28" s="89">
        <f t="shared" si="21"/>
        <v>0</v>
      </c>
      <c r="AW28" s="89">
        <f t="shared" si="21"/>
        <v>-17</v>
      </c>
      <c r="AX28" s="89">
        <f t="shared" si="21"/>
        <v>36</v>
      </c>
      <c r="AY28" s="89">
        <f t="shared" si="21"/>
        <v>461</v>
      </c>
      <c r="AZ28" s="89">
        <f t="shared" si="0"/>
        <v>670</v>
      </c>
      <c r="BA28" s="89">
        <f t="shared" si="1"/>
        <v>686</v>
      </c>
      <c r="BB28" s="89">
        <f t="shared" si="2"/>
        <v>682</v>
      </c>
      <c r="BC28" s="89">
        <f t="shared" si="3"/>
        <v>638</v>
      </c>
      <c r="BD28" s="89">
        <f t="shared" si="4"/>
        <v>461</v>
      </c>
      <c r="BE28" s="196"/>
      <c r="BF28" s="196"/>
      <c r="BG28" s="196"/>
      <c r="BH28" s="196"/>
      <c r="BI28" s="196"/>
      <c r="BJ28" s="196"/>
      <c r="BK28" s="196"/>
    </row>
    <row r="29" spans="1:63" s="36" customFormat="1" ht="16.5" customHeight="1" x14ac:dyDescent="0.2">
      <c r="A29" s="228" t="s">
        <v>302</v>
      </c>
      <c r="B29" s="236">
        <v>0</v>
      </c>
      <c r="C29" s="36">
        <v>0</v>
      </c>
      <c r="D29" s="36">
        <v>0</v>
      </c>
      <c r="E29" s="36">
        <v>0</v>
      </c>
      <c r="F29" s="36">
        <v>0</v>
      </c>
      <c r="G29" s="36">
        <v>0</v>
      </c>
      <c r="H29" s="36">
        <v>0</v>
      </c>
      <c r="I29" s="36">
        <v>0</v>
      </c>
      <c r="J29" s="36">
        <v>0</v>
      </c>
      <c r="K29" s="34">
        <f>SUM(B29:J29)</f>
        <v>0</v>
      </c>
      <c r="L29" s="236">
        <v>0</v>
      </c>
      <c r="M29" s="36">
        <v>0</v>
      </c>
      <c r="N29" s="36">
        <v>0</v>
      </c>
      <c r="O29" s="36">
        <v>0</v>
      </c>
      <c r="P29" s="36">
        <v>0</v>
      </c>
      <c r="Q29" s="36">
        <v>0</v>
      </c>
      <c r="R29" s="36">
        <v>0</v>
      </c>
      <c r="S29" s="36">
        <v>0</v>
      </c>
      <c r="T29" s="36">
        <v>0</v>
      </c>
      <c r="U29" s="34">
        <f>SUM(L29:T29)</f>
        <v>0</v>
      </c>
      <c r="V29" s="236">
        <v>0</v>
      </c>
      <c r="W29" s="36">
        <v>0</v>
      </c>
      <c r="X29" s="36">
        <v>0</v>
      </c>
      <c r="Y29" s="36">
        <v>0</v>
      </c>
      <c r="Z29" s="36">
        <v>0</v>
      </c>
      <c r="AA29" s="36">
        <v>0</v>
      </c>
      <c r="AB29" s="36">
        <v>0</v>
      </c>
      <c r="AC29" s="36">
        <v>0</v>
      </c>
      <c r="AD29" s="36">
        <v>0</v>
      </c>
      <c r="AE29" s="34">
        <f>SUM(V29:AD29)</f>
        <v>0</v>
      </c>
      <c r="AF29" s="236">
        <v>0</v>
      </c>
      <c r="AG29" s="36">
        <v>0</v>
      </c>
      <c r="AH29" s="36">
        <v>0</v>
      </c>
      <c r="AI29" s="36">
        <v>0</v>
      </c>
      <c r="AJ29" s="36">
        <v>0</v>
      </c>
      <c r="AK29" s="36">
        <v>0</v>
      </c>
      <c r="AL29" s="36">
        <v>0</v>
      </c>
      <c r="AM29" s="36">
        <v>0</v>
      </c>
      <c r="AN29" s="36">
        <v>0</v>
      </c>
      <c r="AO29" s="34">
        <f>SUM(AF29:AN29)</f>
        <v>0</v>
      </c>
      <c r="AP29" s="236">
        <v>0</v>
      </c>
      <c r="AQ29" s="36">
        <v>0</v>
      </c>
      <c r="AR29" s="36">
        <v>0</v>
      </c>
      <c r="AS29" s="36">
        <v>0</v>
      </c>
      <c r="AT29" s="36">
        <v>0</v>
      </c>
      <c r="AU29" s="36">
        <v>0</v>
      </c>
      <c r="AV29" s="36">
        <v>0</v>
      </c>
      <c r="AW29" s="36">
        <v>0</v>
      </c>
      <c r="AX29" s="36">
        <v>0</v>
      </c>
      <c r="AY29" s="34">
        <f>SUM(AP29:AX29)</f>
        <v>0</v>
      </c>
      <c r="AZ29" s="34">
        <f>K29</f>
        <v>0</v>
      </c>
      <c r="BA29" s="34">
        <f>U29</f>
        <v>0</v>
      </c>
      <c r="BB29" s="34">
        <f>AE29</f>
        <v>0</v>
      </c>
      <c r="BC29" s="34">
        <f>AO29</f>
        <v>0</v>
      </c>
      <c r="BD29" s="34">
        <f>AY29</f>
        <v>0</v>
      </c>
      <c r="BE29" s="82"/>
      <c r="BF29" s="82"/>
      <c r="BG29" s="82"/>
      <c r="BH29" s="82"/>
      <c r="BI29" s="82"/>
      <c r="BJ29" s="82"/>
      <c r="BK29" s="82"/>
    </row>
    <row r="30" spans="1:63" s="89" customFormat="1" ht="16.5" customHeight="1" x14ac:dyDescent="0.2">
      <c r="A30" s="121" t="s">
        <v>629</v>
      </c>
      <c r="B30" s="89">
        <f>B28-B29</f>
        <v>683</v>
      </c>
      <c r="C30" s="89">
        <f t="shared" ref="C30:K30" si="22">C28-C29</f>
        <v>1</v>
      </c>
      <c r="D30" s="89">
        <f t="shared" si="22"/>
        <v>0</v>
      </c>
      <c r="E30" s="89">
        <f t="shared" si="22"/>
        <v>0</v>
      </c>
      <c r="F30" s="89">
        <f t="shared" si="22"/>
        <v>0</v>
      </c>
      <c r="G30" s="89">
        <f t="shared" si="22"/>
        <v>-25</v>
      </c>
      <c r="H30" s="89">
        <f t="shared" si="22"/>
        <v>0</v>
      </c>
      <c r="I30" s="89">
        <f t="shared" si="22"/>
        <v>-4</v>
      </c>
      <c r="J30" s="89">
        <f t="shared" si="22"/>
        <v>15</v>
      </c>
      <c r="K30" s="239">
        <f t="shared" si="22"/>
        <v>670</v>
      </c>
      <c r="L30" s="89">
        <f t="shared" ref="L30:AY30" si="23">L28-L29</f>
        <v>735</v>
      </c>
      <c r="M30" s="89">
        <f t="shared" si="23"/>
        <v>5</v>
      </c>
      <c r="N30" s="89">
        <f t="shared" si="23"/>
        <v>0</v>
      </c>
      <c r="O30" s="89">
        <f t="shared" si="23"/>
        <v>0</v>
      </c>
      <c r="P30" s="89">
        <f t="shared" si="23"/>
        <v>0</v>
      </c>
      <c r="Q30" s="89">
        <f t="shared" si="23"/>
        <v>-51</v>
      </c>
      <c r="R30" s="89">
        <f t="shared" si="23"/>
        <v>0</v>
      </c>
      <c r="S30" s="89">
        <f t="shared" si="23"/>
        <v>-3</v>
      </c>
      <c r="T30" s="89">
        <f t="shared" si="23"/>
        <v>0</v>
      </c>
      <c r="U30" s="239">
        <f t="shared" si="23"/>
        <v>686</v>
      </c>
      <c r="V30" s="89">
        <f t="shared" si="23"/>
        <v>734</v>
      </c>
      <c r="W30" s="89">
        <f t="shared" si="23"/>
        <v>-11</v>
      </c>
      <c r="X30" s="89">
        <f t="shared" si="23"/>
        <v>0</v>
      </c>
      <c r="Y30" s="89">
        <f t="shared" si="23"/>
        <v>0</v>
      </c>
      <c r="Z30" s="89">
        <f t="shared" si="23"/>
        <v>0</v>
      </c>
      <c r="AA30" s="89">
        <f t="shared" si="23"/>
        <v>-32</v>
      </c>
      <c r="AB30" s="89">
        <f t="shared" si="23"/>
        <v>0</v>
      </c>
      <c r="AC30" s="89">
        <f t="shared" si="23"/>
        <v>-9</v>
      </c>
      <c r="AD30" s="89">
        <f t="shared" si="23"/>
        <v>0</v>
      </c>
      <c r="AE30" s="239">
        <f t="shared" si="23"/>
        <v>682</v>
      </c>
      <c r="AF30" s="89">
        <f t="shared" si="23"/>
        <v>720</v>
      </c>
      <c r="AG30" s="89">
        <f t="shared" si="23"/>
        <v>-21</v>
      </c>
      <c r="AH30" s="89">
        <f t="shared" si="23"/>
        <v>0</v>
      </c>
      <c r="AI30" s="89">
        <f t="shared" si="23"/>
        <v>0</v>
      </c>
      <c r="AJ30" s="89">
        <f t="shared" si="23"/>
        <v>0</v>
      </c>
      <c r="AK30" s="89">
        <f t="shared" si="23"/>
        <v>-51</v>
      </c>
      <c r="AL30" s="89">
        <f t="shared" si="23"/>
        <v>0</v>
      </c>
      <c r="AM30" s="89">
        <f t="shared" si="23"/>
        <v>-10</v>
      </c>
      <c r="AN30" s="89">
        <f t="shared" si="23"/>
        <v>0</v>
      </c>
      <c r="AO30" s="239">
        <f t="shared" si="23"/>
        <v>638</v>
      </c>
      <c r="AP30" s="89">
        <f t="shared" si="23"/>
        <v>600</v>
      </c>
      <c r="AQ30" s="89">
        <f t="shared" si="23"/>
        <v>-22</v>
      </c>
      <c r="AR30" s="89">
        <f t="shared" si="23"/>
        <v>0</v>
      </c>
      <c r="AS30" s="89">
        <f t="shared" si="23"/>
        <v>-59</v>
      </c>
      <c r="AT30" s="89">
        <f t="shared" si="23"/>
        <v>0</v>
      </c>
      <c r="AU30" s="89">
        <f t="shared" si="23"/>
        <v>-77</v>
      </c>
      <c r="AV30" s="89">
        <f t="shared" si="23"/>
        <v>0</v>
      </c>
      <c r="AW30" s="89">
        <f t="shared" si="23"/>
        <v>-17</v>
      </c>
      <c r="AX30" s="89">
        <f t="shared" si="23"/>
        <v>36</v>
      </c>
      <c r="AY30" s="239">
        <f t="shared" si="23"/>
        <v>461</v>
      </c>
      <c r="AZ30" s="239">
        <f>K30</f>
        <v>670</v>
      </c>
      <c r="BA30" s="89">
        <f>U30</f>
        <v>686</v>
      </c>
      <c r="BB30" s="89">
        <f>AE30</f>
        <v>682</v>
      </c>
      <c r="BC30" s="89">
        <f>AO30</f>
        <v>638</v>
      </c>
      <c r="BD30" s="239">
        <f>AY30</f>
        <v>461</v>
      </c>
      <c r="BE30" s="196"/>
      <c r="BF30" s="196"/>
      <c r="BG30" s="196"/>
      <c r="BH30" s="196"/>
      <c r="BI30" s="196"/>
      <c r="BJ30" s="196"/>
      <c r="BK30" s="196"/>
    </row>
    <row r="31" spans="1:63" s="122" customFormat="1" ht="16.5" customHeight="1" x14ac:dyDescent="0.2">
      <c r="A31" s="122" t="s">
        <v>34</v>
      </c>
      <c r="B31" s="232">
        <v>0</v>
      </c>
      <c r="C31" s="240"/>
      <c r="D31" s="240"/>
      <c r="E31" s="240"/>
      <c r="F31" s="240"/>
      <c r="G31" s="240"/>
      <c r="H31" s="240"/>
      <c r="I31" s="240"/>
      <c r="J31" s="240"/>
      <c r="K31" s="123" t="s">
        <v>35</v>
      </c>
      <c r="L31" s="232">
        <v>0</v>
      </c>
      <c r="M31" s="240"/>
      <c r="N31" s="240"/>
      <c r="O31" s="240"/>
      <c r="P31" s="240"/>
      <c r="Q31" s="240"/>
      <c r="R31" s="240"/>
      <c r="S31" s="240"/>
      <c r="T31" s="240"/>
      <c r="U31" s="123" t="s">
        <v>35</v>
      </c>
      <c r="V31" s="232">
        <v>0</v>
      </c>
      <c r="W31" s="240"/>
      <c r="X31" s="240"/>
      <c r="Y31" s="240"/>
      <c r="Z31" s="240"/>
      <c r="AA31" s="240"/>
      <c r="AB31" s="240"/>
      <c r="AC31" s="240"/>
      <c r="AD31" s="240"/>
      <c r="AE31" s="123" t="s">
        <v>35</v>
      </c>
      <c r="AF31" s="232">
        <v>0</v>
      </c>
      <c r="AG31" s="240"/>
      <c r="AH31" s="240"/>
      <c r="AI31" s="240"/>
      <c r="AJ31" s="240"/>
      <c r="AK31" s="240"/>
      <c r="AL31" s="240"/>
      <c r="AM31" s="240"/>
      <c r="AN31" s="240"/>
      <c r="AO31" s="123" t="s">
        <v>35</v>
      </c>
      <c r="AP31" s="232">
        <v>0</v>
      </c>
      <c r="AQ31" s="240"/>
      <c r="AR31" s="240"/>
      <c r="AS31" s="240"/>
      <c r="AT31" s="240"/>
      <c r="AU31" s="240"/>
      <c r="AV31" s="240"/>
      <c r="AW31" s="240"/>
      <c r="AX31" s="240"/>
      <c r="AY31" s="123" t="s">
        <v>35</v>
      </c>
      <c r="AZ31" s="744">
        <f>B31</f>
        <v>0</v>
      </c>
      <c r="BA31" s="744">
        <f>L31</f>
        <v>0</v>
      </c>
      <c r="BB31" s="744">
        <f>V31</f>
        <v>0</v>
      </c>
      <c r="BC31" s="744">
        <f>AF31</f>
        <v>0</v>
      </c>
      <c r="BD31" s="744">
        <f>AP31</f>
        <v>0</v>
      </c>
      <c r="BE31" s="514"/>
      <c r="BF31" s="514"/>
      <c r="BG31" s="514"/>
      <c r="BH31" s="514"/>
      <c r="BI31" s="514"/>
      <c r="BJ31" s="514"/>
      <c r="BK31" s="514"/>
    </row>
    <row r="32" spans="1:63" s="124" customFormat="1" ht="16.5" customHeight="1" x14ac:dyDescent="0.2">
      <c r="A32" s="124" t="s">
        <v>40</v>
      </c>
      <c r="B32" s="76">
        <f>SUM(B30:B31)</f>
        <v>683</v>
      </c>
      <c r="C32" s="241"/>
      <c r="D32" s="241"/>
      <c r="E32" s="241"/>
      <c r="F32" s="241"/>
      <c r="G32" s="241"/>
      <c r="H32" s="241"/>
      <c r="I32" s="241"/>
      <c r="J32" s="241"/>
      <c r="K32" s="125" t="s">
        <v>35</v>
      </c>
      <c r="L32" s="76">
        <f>SUM(L30:L31)</f>
        <v>735</v>
      </c>
      <c r="M32" s="241"/>
      <c r="N32" s="241"/>
      <c r="O32" s="241"/>
      <c r="P32" s="241"/>
      <c r="Q32" s="241"/>
      <c r="R32" s="241"/>
      <c r="S32" s="241"/>
      <c r="T32" s="241"/>
      <c r="U32" s="125" t="s">
        <v>35</v>
      </c>
      <c r="V32" s="76">
        <f>SUM(V30:V31)</f>
        <v>734</v>
      </c>
      <c r="W32" s="241"/>
      <c r="X32" s="241"/>
      <c r="Y32" s="241"/>
      <c r="Z32" s="241"/>
      <c r="AA32" s="241"/>
      <c r="AB32" s="241"/>
      <c r="AC32" s="241"/>
      <c r="AD32" s="241"/>
      <c r="AE32" s="125" t="s">
        <v>35</v>
      </c>
      <c r="AF32" s="76">
        <f>SUM(AF30:AF31)</f>
        <v>720</v>
      </c>
      <c r="AG32" s="241"/>
      <c r="AH32" s="241"/>
      <c r="AI32" s="241"/>
      <c r="AJ32" s="241"/>
      <c r="AK32" s="241"/>
      <c r="AL32" s="241"/>
      <c r="AM32" s="241"/>
      <c r="AN32" s="241"/>
      <c r="AO32" s="125" t="s">
        <v>35</v>
      </c>
      <c r="AP32" s="76">
        <f>SUM(AP30:AP31)</f>
        <v>600</v>
      </c>
      <c r="AQ32" s="241"/>
      <c r="AR32" s="241"/>
      <c r="AS32" s="241"/>
      <c r="AT32" s="241"/>
      <c r="AU32" s="241"/>
      <c r="AV32" s="241"/>
      <c r="AW32" s="241"/>
      <c r="AX32" s="241"/>
      <c r="AY32" s="125" t="s">
        <v>35</v>
      </c>
      <c r="AZ32" s="745">
        <f>SUM(AZ30:AZ31)</f>
        <v>670</v>
      </c>
      <c r="BA32" s="745">
        <f>SUM(BA30:BA31)</f>
        <v>686</v>
      </c>
      <c r="BB32" s="745">
        <f>SUM(BB30:BB31)</f>
        <v>682</v>
      </c>
      <c r="BC32" s="745">
        <f>SUM(BC30:BC31)</f>
        <v>638</v>
      </c>
      <c r="BD32" s="745">
        <f>SUM(BD30:BD31)</f>
        <v>461</v>
      </c>
      <c r="BE32" s="447"/>
      <c r="BF32" s="447"/>
      <c r="BG32" s="447"/>
      <c r="BH32" s="447"/>
      <c r="BI32" s="447"/>
      <c r="BJ32" s="447"/>
      <c r="BK32" s="447"/>
    </row>
    <row r="33" spans="1:63" s="126" customFormat="1" ht="16.5" customHeight="1" x14ac:dyDescent="0.2">
      <c r="A33" s="1232" t="s">
        <v>36</v>
      </c>
      <c r="B33" s="234">
        <v>0</v>
      </c>
      <c r="C33" s="242"/>
      <c r="D33" s="242"/>
      <c r="E33" s="242"/>
      <c r="F33" s="242"/>
      <c r="G33" s="242"/>
      <c r="H33" s="242"/>
      <c r="I33" s="242"/>
      <c r="J33" s="242"/>
      <c r="K33" s="127" t="s">
        <v>35</v>
      </c>
      <c r="L33" s="234">
        <v>0</v>
      </c>
      <c r="M33" s="242"/>
      <c r="N33" s="242"/>
      <c r="O33" s="242"/>
      <c r="P33" s="242"/>
      <c r="Q33" s="242"/>
      <c r="R33" s="242"/>
      <c r="S33" s="242"/>
      <c r="T33" s="242"/>
      <c r="U33" s="127" t="s">
        <v>35</v>
      </c>
      <c r="V33" s="234">
        <v>0</v>
      </c>
      <c r="W33" s="242"/>
      <c r="X33" s="242"/>
      <c r="Y33" s="242"/>
      <c r="Z33" s="242"/>
      <c r="AA33" s="242"/>
      <c r="AB33" s="242"/>
      <c r="AC33" s="242"/>
      <c r="AD33" s="242"/>
      <c r="AE33" s="127" t="s">
        <v>35</v>
      </c>
      <c r="AF33" s="234">
        <v>0</v>
      </c>
      <c r="AG33" s="242"/>
      <c r="AH33" s="242"/>
      <c r="AI33" s="242"/>
      <c r="AJ33" s="242"/>
      <c r="AK33" s="242"/>
      <c r="AL33" s="242"/>
      <c r="AM33" s="242"/>
      <c r="AN33" s="242"/>
      <c r="AO33" s="127" t="s">
        <v>35</v>
      </c>
      <c r="AP33" s="234">
        <v>0</v>
      </c>
      <c r="AQ33" s="242"/>
      <c r="AR33" s="242"/>
      <c r="AS33" s="242"/>
      <c r="AT33" s="242"/>
      <c r="AU33" s="242"/>
      <c r="AV33" s="242"/>
      <c r="AW33" s="242"/>
      <c r="AX33" s="242"/>
      <c r="AY33" s="127" t="s">
        <v>35</v>
      </c>
      <c r="AZ33" s="746">
        <f>B33</f>
        <v>0</v>
      </c>
      <c r="BA33" s="746">
        <f>L33</f>
        <v>0</v>
      </c>
      <c r="BB33" s="746">
        <f>V33</f>
        <v>0</v>
      </c>
      <c r="BC33" s="746">
        <f>AF33</f>
        <v>0</v>
      </c>
      <c r="BD33" s="746">
        <f>AP33</f>
        <v>0</v>
      </c>
      <c r="BE33" s="446"/>
      <c r="BF33" s="446"/>
      <c r="BG33" s="446"/>
      <c r="BH33" s="446"/>
      <c r="BI33" s="446"/>
      <c r="BJ33" s="446"/>
      <c r="BK33" s="446"/>
    </row>
    <row r="34" spans="1:63" s="128" customFormat="1" ht="16.5" customHeight="1" thickBot="1" x14ac:dyDescent="0.25">
      <c r="A34" s="128" t="s">
        <v>49</v>
      </c>
      <c r="B34" s="237">
        <f>SUM(B32:B33)</f>
        <v>683</v>
      </c>
      <c r="C34" s="243"/>
      <c r="D34" s="243"/>
      <c r="E34" s="243"/>
      <c r="F34" s="243"/>
      <c r="G34" s="243"/>
      <c r="H34" s="243"/>
      <c r="I34" s="243"/>
      <c r="J34" s="243"/>
      <c r="K34" s="129" t="s">
        <v>35</v>
      </c>
      <c r="L34" s="237">
        <f>SUM(L32:L33)</f>
        <v>735</v>
      </c>
      <c r="M34" s="243"/>
      <c r="N34" s="243"/>
      <c r="O34" s="243"/>
      <c r="P34" s="243"/>
      <c r="Q34" s="243"/>
      <c r="R34" s="243"/>
      <c r="S34" s="243"/>
      <c r="T34" s="243"/>
      <c r="U34" s="129" t="s">
        <v>35</v>
      </c>
      <c r="V34" s="237">
        <f>SUM(V32:V33)</f>
        <v>734</v>
      </c>
      <c r="W34" s="243"/>
      <c r="X34" s="243"/>
      <c r="Y34" s="243"/>
      <c r="Z34" s="243"/>
      <c r="AA34" s="243"/>
      <c r="AB34" s="243"/>
      <c r="AC34" s="243"/>
      <c r="AD34" s="243"/>
      <c r="AE34" s="129" t="s">
        <v>35</v>
      </c>
      <c r="AF34" s="237">
        <f>SUM(AF32:AF33)</f>
        <v>720</v>
      </c>
      <c r="AG34" s="243"/>
      <c r="AH34" s="243"/>
      <c r="AI34" s="243"/>
      <c r="AJ34" s="243"/>
      <c r="AK34" s="243"/>
      <c r="AL34" s="243"/>
      <c r="AM34" s="243"/>
      <c r="AN34" s="243"/>
      <c r="AO34" s="129" t="s">
        <v>35</v>
      </c>
      <c r="AP34" s="237">
        <f>SUM(AP32:AP33)</f>
        <v>600</v>
      </c>
      <c r="AQ34" s="243"/>
      <c r="AR34" s="243"/>
      <c r="AS34" s="243"/>
      <c r="AT34" s="243"/>
      <c r="AU34" s="243"/>
      <c r="AV34" s="243"/>
      <c r="AW34" s="243"/>
      <c r="AX34" s="243"/>
      <c r="AY34" s="129" t="s">
        <v>35</v>
      </c>
      <c r="AZ34" s="747">
        <f>SUM(AZ32:AZ33)</f>
        <v>670</v>
      </c>
      <c r="BA34" s="747">
        <f>SUM(BA32:BA33)</f>
        <v>686</v>
      </c>
      <c r="BB34" s="747">
        <f>SUM(BB32:BB33)</f>
        <v>682</v>
      </c>
      <c r="BC34" s="747">
        <f>SUM(BC32:BC33)</f>
        <v>638</v>
      </c>
      <c r="BD34" s="747">
        <f>SUM(BD32:BD33)</f>
        <v>461</v>
      </c>
      <c r="BE34" s="213"/>
      <c r="BF34" s="213"/>
      <c r="BG34" s="213"/>
      <c r="BH34" s="213"/>
      <c r="BI34" s="213"/>
      <c r="BJ34" s="213"/>
      <c r="BK34" s="213"/>
    </row>
    <row r="35" spans="1:63" s="88" customFormat="1" ht="6" customHeight="1" x14ac:dyDescent="0.2"/>
    <row r="36" spans="1:63" s="195" customFormat="1" ht="16.5" customHeight="1" x14ac:dyDescent="0.2">
      <c r="A36" s="117" t="s">
        <v>37</v>
      </c>
    </row>
    <row r="37" spans="1:63" ht="16.5" customHeight="1" x14ac:dyDescent="0.2">
      <c r="A37" s="31" t="s">
        <v>33</v>
      </c>
      <c r="B37" s="8">
        <f>B26</f>
        <v>1119</v>
      </c>
      <c r="C37" s="10">
        <f t="shared" ref="C37:K37" si="24">C26</f>
        <v>1</v>
      </c>
      <c r="D37" s="10">
        <f t="shared" si="24"/>
        <v>0</v>
      </c>
      <c r="E37" s="10">
        <f t="shared" si="24"/>
        <v>0</v>
      </c>
      <c r="F37" s="10">
        <f t="shared" si="24"/>
        <v>0</v>
      </c>
      <c r="G37" s="10">
        <f t="shared" si="24"/>
        <v>-41</v>
      </c>
      <c r="H37" s="10">
        <f t="shared" si="24"/>
        <v>0</v>
      </c>
      <c r="I37" s="10">
        <f t="shared" si="24"/>
        <v>-7</v>
      </c>
      <c r="J37" s="10">
        <f t="shared" si="24"/>
        <v>25</v>
      </c>
      <c r="K37" s="8">
        <f t="shared" si="24"/>
        <v>1097</v>
      </c>
      <c r="L37" s="8">
        <f>L26</f>
        <v>1185</v>
      </c>
      <c r="M37" s="10">
        <f t="shared" ref="M37:U37" si="25">M26</f>
        <v>8</v>
      </c>
      <c r="N37" s="10">
        <f t="shared" si="25"/>
        <v>0</v>
      </c>
      <c r="O37" s="10">
        <f t="shared" si="25"/>
        <v>0</v>
      </c>
      <c r="P37" s="10">
        <f t="shared" si="25"/>
        <v>0</v>
      </c>
      <c r="Q37" s="10">
        <f t="shared" si="25"/>
        <v>-83</v>
      </c>
      <c r="R37" s="10">
        <f t="shared" si="25"/>
        <v>0</v>
      </c>
      <c r="S37" s="10">
        <f t="shared" si="25"/>
        <v>-5</v>
      </c>
      <c r="T37" s="10">
        <f t="shared" si="25"/>
        <v>0</v>
      </c>
      <c r="U37" s="8">
        <f t="shared" si="25"/>
        <v>1105</v>
      </c>
      <c r="V37" s="8">
        <f>V26</f>
        <v>1189</v>
      </c>
      <c r="W37" s="10">
        <f t="shared" ref="W37:AE37" si="26">W26</f>
        <v>-18</v>
      </c>
      <c r="X37" s="10">
        <f t="shared" si="26"/>
        <v>0</v>
      </c>
      <c r="Y37" s="10">
        <f t="shared" si="26"/>
        <v>0</v>
      </c>
      <c r="Z37" s="10">
        <f t="shared" si="26"/>
        <v>0</v>
      </c>
      <c r="AA37" s="10">
        <f t="shared" si="26"/>
        <v>-52</v>
      </c>
      <c r="AB37" s="10">
        <f t="shared" si="26"/>
        <v>0</v>
      </c>
      <c r="AC37" s="10">
        <f t="shared" si="26"/>
        <v>-14</v>
      </c>
      <c r="AD37" s="10">
        <f t="shared" si="26"/>
        <v>0</v>
      </c>
      <c r="AE37" s="8">
        <f t="shared" si="26"/>
        <v>1105</v>
      </c>
      <c r="AF37" s="8">
        <f>AF26</f>
        <v>1185</v>
      </c>
      <c r="AG37" s="10">
        <f t="shared" ref="AG37:AO37" si="27">AG26</f>
        <v>-34</v>
      </c>
      <c r="AH37" s="10">
        <f t="shared" si="27"/>
        <v>0</v>
      </c>
      <c r="AI37" s="10">
        <f t="shared" si="27"/>
        <v>0</v>
      </c>
      <c r="AJ37" s="10">
        <f t="shared" si="27"/>
        <v>0</v>
      </c>
      <c r="AK37" s="10">
        <f t="shared" si="27"/>
        <v>-84</v>
      </c>
      <c r="AL37" s="10">
        <f t="shared" si="27"/>
        <v>0</v>
      </c>
      <c r="AM37" s="10">
        <f t="shared" si="27"/>
        <v>-17</v>
      </c>
      <c r="AN37" s="10">
        <f t="shared" si="27"/>
        <v>0</v>
      </c>
      <c r="AO37" s="8">
        <f t="shared" si="27"/>
        <v>1050</v>
      </c>
      <c r="AP37" s="8">
        <f>AP26</f>
        <v>976</v>
      </c>
      <c r="AQ37" s="10">
        <f t="shared" ref="AQ37:AY37" si="28">AQ26</f>
        <v>-36</v>
      </c>
      <c r="AR37" s="10">
        <f t="shared" si="28"/>
        <v>0</v>
      </c>
      <c r="AS37" s="10">
        <f t="shared" si="28"/>
        <v>-96</v>
      </c>
      <c r="AT37" s="10">
        <f t="shared" si="28"/>
        <v>0</v>
      </c>
      <c r="AU37" s="10">
        <f t="shared" si="28"/>
        <v>-125</v>
      </c>
      <c r="AV37" s="10">
        <f t="shared" si="28"/>
        <v>0</v>
      </c>
      <c r="AW37" s="10">
        <f t="shared" si="28"/>
        <v>-28</v>
      </c>
      <c r="AX37" s="10">
        <f t="shared" si="28"/>
        <v>59</v>
      </c>
      <c r="AY37" s="8">
        <f t="shared" si="28"/>
        <v>750</v>
      </c>
      <c r="AZ37" s="10">
        <f>AZ26</f>
        <v>1097</v>
      </c>
      <c r="BA37" s="10">
        <f>BA26</f>
        <v>1105</v>
      </c>
      <c r="BB37" s="10">
        <f>BB26</f>
        <v>1105</v>
      </c>
      <c r="BC37" s="10">
        <f>BC26</f>
        <v>1050</v>
      </c>
      <c r="BD37" s="10">
        <f>BD26</f>
        <v>750</v>
      </c>
    </row>
    <row r="38" spans="1:63" s="13" customFormat="1" ht="16.5" customHeight="1" x14ac:dyDescent="0.2">
      <c r="A38" s="39" t="s">
        <v>38</v>
      </c>
      <c r="B38" s="13">
        <f>B16</f>
        <v>-130</v>
      </c>
      <c r="C38" s="13">
        <f t="shared" ref="C38:K38" si="29">C16</f>
        <v>-36</v>
      </c>
      <c r="D38" s="13">
        <f t="shared" si="29"/>
        <v>0</v>
      </c>
      <c r="E38" s="13">
        <f t="shared" si="29"/>
        <v>0</v>
      </c>
      <c r="F38" s="13">
        <f t="shared" si="29"/>
        <v>0</v>
      </c>
      <c r="G38" s="13">
        <f t="shared" si="29"/>
        <v>0</v>
      </c>
      <c r="H38" s="13">
        <f t="shared" si="29"/>
        <v>-7</v>
      </c>
      <c r="I38" s="13">
        <f t="shared" si="29"/>
        <v>-7</v>
      </c>
      <c r="J38" s="13">
        <f t="shared" si="29"/>
        <v>0</v>
      </c>
      <c r="K38" s="13">
        <f t="shared" si="29"/>
        <v>-180</v>
      </c>
      <c r="L38" s="13">
        <f>L16</f>
        <v>-160</v>
      </c>
      <c r="M38" s="13">
        <f t="shared" ref="M38:U38" si="30">M16</f>
        <v>-37</v>
      </c>
      <c r="N38" s="13">
        <f t="shared" si="30"/>
        <v>0</v>
      </c>
      <c r="O38" s="13">
        <f t="shared" si="30"/>
        <v>0</v>
      </c>
      <c r="P38" s="13">
        <f t="shared" si="30"/>
        <v>0</v>
      </c>
      <c r="Q38" s="13">
        <f t="shared" si="30"/>
        <v>0</v>
      </c>
      <c r="R38" s="13">
        <f t="shared" si="30"/>
        <v>-7</v>
      </c>
      <c r="S38" s="13">
        <f t="shared" si="30"/>
        <v>-5</v>
      </c>
      <c r="T38" s="13">
        <f t="shared" si="30"/>
        <v>0</v>
      </c>
      <c r="U38" s="13">
        <f t="shared" si="30"/>
        <v>-209</v>
      </c>
      <c r="V38" s="13">
        <f>V16</f>
        <v>-161</v>
      </c>
      <c r="W38" s="13">
        <f t="shared" ref="W38:AE38" si="31">W16</f>
        <v>-56</v>
      </c>
      <c r="X38" s="13">
        <f t="shared" si="31"/>
        <v>0</v>
      </c>
      <c r="Y38" s="13">
        <f t="shared" si="31"/>
        <v>0</v>
      </c>
      <c r="Z38" s="13">
        <f t="shared" si="31"/>
        <v>0</v>
      </c>
      <c r="AA38" s="13">
        <f t="shared" si="31"/>
        <v>0</v>
      </c>
      <c r="AB38" s="13">
        <f t="shared" si="31"/>
        <v>-7</v>
      </c>
      <c r="AC38" s="13">
        <f t="shared" si="31"/>
        <v>-14</v>
      </c>
      <c r="AD38" s="13">
        <f t="shared" si="31"/>
        <v>0</v>
      </c>
      <c r="AE38" s="13">
        <f t="shared" si="31"/>
        <v>-238</v>
      </c>
      <c r="AF38" s="13">
        <f>AF16</f>
        <v>-138</v>
      </c>
      <c r="AG38" s="13">
        <f t="shared" ref="AG38:AO38" si="32">AG16</f>
        <v>-69</v>
      </c>
      <c r="AH38" s="13">
        <f t="shared" si="32"/>
        <v>0</v>
      </c>
      <c r="AI38" s="13">
        <f t="shared" si="32"/>
        <v>0</v>
      </c>
      <c r="AJ38" s="13">
        <f t="shared" si="32"/>
        <v>0</v>
      </c>
      <c r="AK38" s="13">
        <f t="shared" si="32"/>
        <v>0</v>
      </c>
      <c r="AL38" s="13">
        <f t="shared" si="32"/>
        <v>-8</v>
      </c>
      <c r="AM38" s="13">
        <f t="shared" si="32"/>
        <v>-17</v>
      </c>
      <c r="AN38" s="13">
        <f t="shared" si="32"/>
        <v>0</v>
      </c>
      <c r="AO38" s="13">
        <f t="shared" si="32"/>
        <v>-232</v>
      </c>
      <c r="AP38" s="13">
        <f>AP16</f>
        <v>-125</v>
      </c>
      <c r="AQ38" s="13">
        <f t="shared" ref="AQ38:AY38" si="33">AQ16</f>
        <v>-80</v>
      </c>
      <c r="AR38" s="13">
        <f t="shared" si="33"/>
        <v>0</v>
      </c>
      <c r="AS38" s="13">
        <f t="shared" si="33"/>
        <v>0</v>
      </c>
      <c r="AT38" s="13">
        <f t="shared" si="33"/>
        <v>0</v>
      </c>
      <c r="AU38" s="13">
        <f t="shared" si="33"/>
        <v>0</v>
      </c>
      <c r="AV38" s="13">
        <f t="shared" si="33"/>
        <v>-7</v>
      </c>
      <c r="AW38" s="13">
        <f t="shared" si="33"/>
        <v>-28</v>
      </c>
      <c r="AX38" s="13">
        <f t="shared" si="33"/>
        <v>0</v>
      </c>
      <c r="AY38" s="13">
        <f t="shared" si="33"/>
        <v>-240</v>
      </c>
      <c r="AZ38" s="13">
        <f>AZ16</f>
        <v>-180</v>
      </c>
      <c r="BA38" s="13">
        <f>BA16</f>
        <v>-209</v>
      </c>
      <c r="BB38" s="13">
        <f>BB16</f>
        <v>-238</v>
      </c>
      <c r="BC38" s="13">
        <f>BC16</f>
        <v>-232</v>
      </c>
      <c r="BD38" s="13">
        <f>BD16</f>
        <v>-240</v>
      </c>
      <c r="BE38" s="88"/>
      <c r="BF38" s="88"/>
      <c r="BG38" s="88"/>
      <c r="BH38" s="88"/>
      <c r="BI38" s="88"/>
      <c r="BJ38" s="88"/>
      <c r="BK38" s="88"/>
    </row>
    <row r="39" spans="1:63" s="49" customFormat="1" ht="16.5" customHeight="1" x14ac:dyDescent="0.2">
      <c r="A39" s="89" t="s">
        <v>177</v>
      </c>
      <c r="B39" s="238">
        <f t="shared" ref="B39:K39" si="34">B37-B38</f>
        <v>1249</v>
      </c>
      <c r="C39" s="49">
        <f t="shared" si="34"/>
        <v>37</v>
      </c>
      <c r="D39" s="49">
        <f t="shared" si="34"/>
        <v>0</v>
      </c>
      <c r="E39" s="49">
        <f t="shared" si="34"/>
        <v>0</v>
      </c>
      <c r="F39" s="49">
        <f t="shared" si="34"/>
        <v>0</v>
      </c>
      <c r="G39" s="49">
        <f t="shared" si="34"/>
        <v>-41</v>
      </c>
      <c r="H39" s="49">
        <f t="shared" si="34"/>
        <v>7</v>
      </c>
      <c r="I39" s="49">
        <f t="shared" si="34"/>
        <v>0</v>
      </c>
      <c r="J39" s="49">
        <f t="shared" si="34"/>
        <v>25</v>
      </c>
      <c r="K39" s="238">
        <f t="shared" si="34"/>
        <v>1277</v>
      </c>
      <c r="L39" s="238">
        <f t="shared" ref="L39:AY39" si="35">L37-L38</f>
        <v>1345</v>
      </c>
      <c r="M39" s="49">
        <f t="shared" si="35"/>
        <v>45</v>
      </c>
      <c r="N39" s="49">
        <f t="shared" si="35"/>
        <v>0</v>
      </c>
      <c r="O39" s="49">
        <f t="shared" si="35"/>
        <v>0</v>
      </c>
      <c r="P39" s="49">
        <f t="shared" si="35"/>
        <v>0</v>
      </c>
      <c r="Q39" s="49">
        <f t="shared" si="35"/>
        <v>-83</v>
      </c>
      <c r="R39" s="49">
        <f t="shared" si="35"/>
        <v>7</v>
      </c>
      <c r="S39" s="49">
        <f t="shared" si="35"/>
        <v>0</v>
      </c>
      <c r="T39" s="49">
        <f t="shared" si="35"/>
        <v>0</v>
      </c>
      <c r="U39" s="238">
        <f t="shared" si="35"/>
        <v>1314</v>
      </c>
      <c r="V39" s="238">
        <f t="shared" si="35"/>
        <v>1350</v>
      </c>
      <c r="W39" s="49">
        <f t="shared" si="35"/>
        <v>38</v>
      </c>
      <c r="X39" s="49">
        <f t="shared" si="35"/>
        <v>0</v>
      </c>
      <c r="Y39" s="49">
        <f t="shared" si="35"/>
        <v>0</v>
      </c>
      <c r="Z39" s="49">
        <f t="shared" si="35"/>
        <v>0</v>
      </c>
      <c r="AA39" s="49">
        <f t="shared" si="35"/>
        <v>-52</v>
      </c>
      <c r="AB39" s="49">
        <f t="shared" si="35"/>
        <v>7</v>
      </c>
      <c r="AC39" s="49">
        <f t="shared" si="35"/>
        <v>0</v>
      </c>
      <c r="AD39" s="49">
        <f t="shared" si="35"/>
        <v>0</v>
      </c>
      <c r="AE39" s="238">
        <f t="shared" si="35"/>
        <v>1343</v>
      </c>
      <c r="AF39" s="238">
        <f t="shared" si="35"/>
        <v>1323</v>
      </c>
      <c r="AG39" s="49">
        <f t="shared" si="35"/>
        <v>35</v>
      </c>
      <c r="AH39" s="49">
        <f t="shared" si="35"/>
        <v>0</v>
      </c>
      <c r="AI39" s="49">
        <f t="shared" si="35"/>
        <v>0</v>
      </c>
      <c r="AJ39" s="49">
        <f t="shared" si="35"/>
        <v>0</v>
      </c>
      <c r="AK39" s="49">
        <f t="shared" si="35"/>
        <v>-84</v>
      </c>
      <c r="AL39" s="49">
        <f t="shared" si="35"/>
        <v>8</v>
      </c>
      <c r="AM39" s="49">
        <f t="shared" si="35"/>
        <v>0</v>
      </c>
      <c r="AN39" s="49">
        <f t="shared" si="35"/>
        <v>0</v>
      </c>
      <c r="AO39" s="238">
        <f t="shared" si="35"/>
        <v>1282</v>
      </c>
      <c r="AP39" s="238">
        <f t="shared" si="35"/>
        <v>1101</v>
      </c>
      <c r="AQ39" s="49">
        <f t="shared" si="35"/>
        <v>44</v>
      </c>
      <c r="AR39" s="49">
        <f t="shared" si="35"/>
        <v>0</v>
      </c>
      <c r="AS39" s="49">
        <f t="shared" si="35"/>
        <v>-96</v>
      </c>
      <c r="AT39" s="49">
        <f t="shared" si="35"/>
        <v>0</v>
      </c>
      <c r="AU39" s="49">
        <f t="shared" si="35"/>
        <v>-125</v>
      </c>
      <c r="AV39" s="49">
        <f t="shared" si="35"/>
        <v>7</v>
      </c>
      <c r="AW39" s="49">
        <f t="shared" si="35"/>
        <v>0</v>
      </c>
      <c r="AX39" s="49">
        <f t="shared" si="35"/>
        <v>59</v>
      </c>
      <c r="AY39" s="238">
        <f t="shared" si="35"/>
        <v>990</v>
      </c>
      <c r="AZ39" s="49">
        <f>AZ37-AZ38</f>
        <v>1277</v>
      </c>
      <c r="BA39" s="49">
        <f>BA37-BA38</f>
        <v>1314</v>
      </c>
      <c r="BB39" s="49">
        <f>BB37-BB38</f>
        <v>1343</v>
      </c>
      <c r="BC39" s="49">
        <f>BC37-BC38</f>
        <v>1282</v>
      </c>
      <c r="BD39" s="49">
        <f>BD37-BD38</f>
        <v>990</v>
      </c>
      <c r="BE39" s="196"/>
      <c r="BF39" s="196"/>
      <c r="BG39" s="196"/>
      <c r="BH39" s="196"/>
      <c r="BI39" s="196"/>
      <c r="BJ39" s="196"/>
      <c r="BK39" s="196"/>
    </row>
    <row r="40" spans="1:63" s="88" customFormat="1" ht="6" customHeight="1" x14ac:dyDescent="0.2"/>
    <row r="41" spans="1:63" s="15" customFormat="1" ht="16.5" customHeight="1" x14ac:dyDescent="0.2">
      <c r="A41" s="130"/>
      <c r="BE41" s="195"/>
      <c r="BF41" s="195"/>
      <c r="BG41" s="195"/>
      <c r="BH41" s="195"/>
      <c r="BI41" s="195"/>
      <c r="BJ41" s="195"/>
      <c r="BK41" s="195"/>
    </row>
    <row r="42" spans="1:63" s="88" customFormat="1" ht="6" customHeight="1" x14ac:dyDescent="0.2">
      <c r="A42" s="610"/>
    </row>
    <row r="43" spans="1:63" s="15" customFormat="1" ht="16.5" customHeight="1" x14ac:dyDescent="0.2">
      <c r="A43" s="117" t="s">
        <v>167</v>
      </c>
      <c r="BE43" s="195"/>
      <c r="BF43" s="195"/>
      <c r="BG43" s="195"/>
      <c r="BH43" s="195"/>
      <c r="BI43" s="195"/>
      <c r="BJ43" s="195"/>
      <c r="BK43" s="195"/>
    </row>
    <row r="44" spans="1:63" s="31" customFormat="1" ht="16.5" customHeight="1" x14ac:dyDescent="0.2">
      <c r="A44" s="549" t="s">
        <v>489</v>
      </c>
      <c r="B44" s="231"/>
      <c r="C44" s="231"/>
      <c r="D44" s="231"/>
      <c r="E44" s="231"/>
      <c r="F44" s="231"/>
      <c r="G44" s="231"/>
      <c r="H44" s="231"/>
      <c r="I44" s="231"/>
      <c r="J44" s="231"/>
      <c r="BE44" s="87"/>
      <c r="BF44" s="87"/>
      <c r="BG44" s="87"/>
      <c r="BH44" s="87"/>
      <c r="BI44" s="87"/>
      <c r="BJ44" s="87"/>
      <c r="BK44" s="87"/>
    </row>
    <row r="45" spans="1:63" s="31" customFormat="1" ht="16.5" customHeight="1" x14ac:dyDescent="0.2">
      <c r="A45" s="549" t="s">
        <v>490</v>
      </c>
      <c r="B45" s="231"/>
      <c r="C45" s="231"/>
      <c r="D45" s="231"/>
      <c r="E45" s="231"/>
      <c r="F45" s="231"/>
      <c r="G45" s="231"/>
      <c r="H45" s="231"/>
      <c r="I45" s="231"/>
      <c r="J45" s="231"/>
      <c r="BE45" s="87"/>
      <c r="BF45" s="87"/>
      <c r="BG45" s="87"/>
      <c r="BH45" s="87"/>
      <c r="BI45" s="87"/>
      <c r="BJ45" s="87"/>
      <c r="BK45" s="87"/>
    </row>
    <row r="46" spans="1:63" s="31" customFormat="1" ht="16.5" customHeight="1" x14ac:dyDescent="0.2">
      <c r="A46" s="1279" t="s">
        <v>0</v>
      </c>
      <c r="B46" s="231"/>
      <c r="C46" s="231"/>
      <c r="D46" s="231"/>
      <c r="E46" s="231"/>
      <c r="F46" s="231"/>
      <c r="G46" s="231"/>
      <c r="H46" s="231"/>
      <c r="I46" s="231"/>
      <c r="J46" s="231"/>
      <c r="BE46" s="87"/>
      <c r="BF46" s="87"/>
      <c r="BG46" s="87"/>
      <c r="BH46" s="87"/>
      <c r="BI46" s="87"/>
      <c r="BJ46" s="87"/>
      <c r="BK46" s="87"/>
    </row>
    <row r="47" spans="1:63" s="31" customFormat="1" ht="16.5" customHeight="1" x14ac:dyDescent="0.2">
      <c r="A47" s="549" t="s">
        <v>6</v>
      </c>
      <c r="B47" s="231"/>
      <c r="C47" s="231"/>
      <c r="D47" s="231"/>
      <c r="E47" s="231"/>
      <c r="F47" s="231"/>
      <c r="G47" s="231"/>
      <c r="H47" s="231"/>
      <c r="I47" s="231"/>
      <c r="J47" s="231"/>
      <c r="BE47" s="87"/>
      <c r="BF47" s="87"/>
      <c r="BG47" s="87"/>
      <c r="BH47" s="87"/>
      <c r="BI47" s="87"/>
      <c r="BJ47" s="87"/>
      <c r="BK47" s="87"/>
    </row>
    <row r="48" spans="1:63" s="31" customFormat="1" ht="16.5" customHeight="1" x14ac:dyDescent="0.2">
      <c r="A48" s="549" t="s">
        <v>30</v>
      </c>
      <c r="B48" s="231"/>
      <c r="C48" s="231"/>
      <c r="D48" s="231"/>
      <c r="E48" s="231"/>
      <c r="F48" s="231"/>
      <c r="G48" s="231"/>
      <c r="H48" s="231"/>
      <c r="I48" s="231"/>
      <c r="J48" s="231"/>
      <c r="BE48" s="87"/>
      <c r="BF48" s="87"/>
      <c r="BG48" s="87"/>
      <c r="BH48" s="87"/>
      <c r="BI48" s="87"/>
      <c r="BJ48" s="87"/>
      <c r="BK48" s="87"/>
    </row>
    <row r="49" spans="1:63" s="31" customFormat="1" ht="16.5" customHeight="1" x14ac:dyDescent="0.2">
      <c r="A49" s="549" t="s">
        <v>9</v>
      </c>
      <c r="B49" s="231"/>
      <c r="C49" s="231"/>
      <c r="D49" s="231"/>
      <c r="E49" s="231"/>
      <c r="F49" s="231"/>
      <c r="G49" s="231"/>
      <c r="H49" s="231"/>
      <c r="I49" s="231"/>
      <c r="J49" s="231"/>
      <c r="BE49" s="87"/>
      <c r="BF49" s="87"/>
      <c r="BG49" s="87"/>
      <c r="BH49" s="87"/>
      <c r="BI49" s="87"/>
      <c r="BJ49" s="87"/>
      <c r="BK49" s="87"/>
    </row>
    <row r="50" spans="1:63" s="31" customFormat="1" ht="16.5" customHeight="1" x14ac:dyDescent="0.2">
      <c r="A50" s="549" t="s">
        <v>593</v>
      </c>
      <c r="B50" s="231"/>
      <c r="C50" s="231"/>
      <c r="D50" s="231"/>
      <c r="E50" s="231"/>
      <c r="F50" s="231"/>
      <c r="G50" s="231"/>
      <c r="H50" s="231"/>
      <c r="I50" s="231"/>
      <c r="J50" s="231"/>
      <c r="BE50" s="87"/>
      <c r="BF50" s="87"/>
      <c r="BG50" s="87"/>
      <c r="BH50" s="87"/>
      <c r="BI50" s="87"/>
      <c r="BJ50" s="87"/>
      <c r="BK50" s="87"/>
    </row>
    <row r="51" spans="1:63" s="31" customFormat="1" ht="16.5" customHeight="1" x14ac:dyDescent="0.2">
      <c r="A51" s="549" t="s">
        <v>594</v>
      </c>
      <c r="B51" s="231"/>
      <c r="C51" s="231"/>
      <c r="D51" s="231"/>
      <c r="E51" s="231"/>
      <c r="F51" s="231"/>
      <c r="G51" s="231"/>
      <c r="H51" s="231"/>
      <c r="I51" s="231"/>
      <c r="J51" s="231"/>
      <c r="BE51" s="87"/>
      <c r="BF51" s="87"/>
      <c r="BG51" s="87"/>
      <c r="BH51" s="87"/>
      <c r="BI51" s="87"/>
      <c r="BJ51" s="87"/>
      <c r="BK51" s="87"/>
    </row>
    <row r="52" spans="1:63" s="31" customFormat="1" ht="16.5" customHeight="1" x14ac:dyDescent="0.2">
      <c r="A52" s="1278" t="s">
        <v>217</v>
      </c>
      <c r="B52" s="231"/>
      <c r="C52" s="231"/>
      <c r="D52" s="231"/>
      <c r="E52" s="231"/>
      <c r="F52" s="231"/>
      <c r="G52" s="231"/>
      <c r="H52" s="231"/>
      <c r="I52" s="231"/>
      <c r="J52" s="231"/>
      <c r="BE52" s="87"/>
      <c r="BF52" s="87"/>
      <c r="BG52" s="87"/>
      <c r="BH52" s="87"/>
      <c r="BI52" s="87"/>
      <c r="BJ52" s="87"/>
      <c r="BK52" s="87"/>
    </row>
    <row r="53" spans="1:63" ht="16.5" customHeight="1" x14ac:dyDescent="0.2">
      <c r="A53" s="549"/>
      <c r="B53" s="231"/>
      <c r="C53" s="231"/>
      <c r="D53" s="231"/>
      <c r="E53" s="231"/>
      <c r="F53" s="231"/>
      <c r="G53" s="231"/>
      <c r="H53" s="231"/>
      <c r="I53" s="231"/>
      <c r="J53" s="231"/>
    </row>
    <row r="54" spans="1:63" ht="16.5" customHeight="1" x14ac:dyDescent="0.2">
      <c r="A54" s="549"/>
      <c r="B54" s="231"/>
      <c r="C54" s="231"/>
      <c r="D54" s="231"/>
      <c r="E54" s="231"/>
      <c r="F54" s="231"/>
      <c r="G54" s="231"/>
      <c r="H54" s="231"/>
      <c r="I54" s="231"/>
      <c r="J54" s="231"/>
    </row>
    <row r="55" spans="1:63" ht="16.5" customHeight="1" x14ac:dyDescent="0.2">
      <c r="A55" s="1254"/>
      <c r="B55" s="231"/>
      <c r="C55" s="231"/>
      <c r="D55" s="231"/>
      <c r="E55" s="231"/>
      <c r="F55" s="231"/>
      <c r="G55" s="231"/>
      <c r="H55" s="231"/>
      <c r="I55" s="231"/>
      <c r="J55" s="231"/>
    </row>
    <row r="56" spans="1:63" ht="16.5" customHeight="1" x14ac:dyDescent="0.2">
      <c r="A56" s="1254"/>
      <c r="B56" s="231"/>
      <c r="C56" s="231"/>
      <c r="D56" s="231"/>
      <c r="E56" s="231"/>
      <c r="F56" s="231"/>
      <c r="G56" s="231"/>
      <c r="H56" s="231"/>
      <c r="I56" s="231"/>
      <c r="J56" s="231"/>
    </row>
  </sheetData>
  <phoneticPr fontId="8" type="noConversion"/>
  <printOptions horizontalCentered="1"/>
  <pageMargins left="0.15" right="0.15" top="0.5" bottom="0.5" header="0.25" footer="0.25"/>
  <pageSetup orientation="portrait" r:id="rId1"/>
  <headerFooter alignWithMargins="0"/>
  <colBreaks count="5" manualBreakCount="5">
    <brk id="11" max="50" man="1"/>
    <brk id="21" max="50" man="1"/>
    <brk id="31" max="50" man="1"/>
    <brk id="41" max="50" man="1"/>
    <brk id="51" max="50" man="1"/>
  </colBreaks>
  <ignoredErrors>
    <ignoredError sqref="K28:K29 AY28:AY29 AO28:AO29 AZ32:BD32 AZ33" formula="1"/>
  </ignoredErrors>
  <legacyDrawing r:id="rId2"/>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800080"/>
  </sheetPr>
  <dimension ref="A1:Z207"/>
  <sheetViews>
    <sheetView tabSelected="1" zoomScaleSheetLayoutView="100" workbookViewId="0">
      <selection activeCell="I8" sqref="I8"/>
    </sheetView>
  </sheetViews>
  <sheetFormatPr defaultColWidth="9.140625" defaultRowHeight="16.899999999999999" customHeight="1" x14ac:dyDescent="0.2"/>
  <cols>
    <col min="1" max="1" width="39" style="1" customWidth="1"/>
    <col min="2" max="2" width="0.140625" style="2" customWidth="1"/>
    <col min="3" max="3" width="8.42578125" style="59" customWidth="1"/>
    <col min="4" max="7" width="8.5703125" style="60" customWidth="1"/>
    <col min="8" max="8" width="0.85546875" style="193" customWidth="1"/>
    <col min="9" max="10" width="6.5703125" style="61" customWidth="1"/>
    <col min="11" max="14" width="6.5703125" style="3" customWidth="1"/>
    <col min="15" max="15" width="54.5703125" style="82" customWidth="1"/>
    <col min="16" max="26" width="8.5703125" style="1234" customWidth="1"/>
    <col min="27" max="256" width="8.5703125" style="7" customWidth="1"/>
    <col min="257" max="16384" width="9.140625" style="7"/>
  </cols>
  <sheetData>
    <row r="1" spans="1:26" s="1120" customFormat="1" ht="16.899999999999999" customHeight="1" x14ac:dyDescent="0.2">
      <c r="A1" s="1121"/>
      <c r="B1" s="788"/>
      <c r="C1" s="1135"/>
      <c r="D1" s="772"/>
      <c r="E1" s="772"/>
      <c r="F1" s="772"/>
      <c r="G1" s="772"/>
      <c r="H1" s="677"/>
      <c r="I1" s="1132"/>
      <c r="J1" s="1132"/>
      <c r="K1" s="1136"/>
      <c r="L1" s="1136"/>
      <c r="M1" s="1136"/>
      <c r="N1" s="1136"/>
      <c r="P1" s="1234" t="s">
        <v>1075</v>
      </c>
      <c r="Q1" s="1234" t="s">
        <v>1075</v>
      </c>
      <c r="R1" s="1234" t="s">
        <v>1075</v>
      </c>
      <c r="S1" s="1234" t="s">
        <v>1075</v>
      </c>
      <c r="T1" s="1234" t="s">
        <v>1075</v>
      </c>
      <c r="U1" s="1234" t="s">
        <v>1075</v>
      </c>
      <c r="V1" s="1234" t="s">
        <v>1075</v>
      </c>
      <c r="W1" s="1234" t="s">
        <v>1075</v>
      </c>
      <c r="X1" s="1234" t="s">
        <v>1075</v>
      </c>
      <c r="Y1" s="1234" t="s">
        <v>1075</v>
      </c>
      <c r="Z1" s="1234" t="s">
        <v>1075</v>
      </c>
    </row>
    <row r="2" spans="1:26" s="1234" customFormat="1" ht="16.899999999999999" customHeight="1" x14ac:dyDescent="0.2">
      <c r="A2" s="1235"/>
      <c r="B2" s="788"/>
      <c r="C2" s="1135"/>
      <c r="D2" s="772"/>
      <c r="E2" s="772"/>
      <c r="F2" s="772"/>
      <c r="G2" s="772"/>
      <c r="H2" s="677"/>
      <c r="I2" s="1132"/>
      <c r="J2" s="1132"/>
      <c r="K2" s="1136"/>
      <c r="L2" s="1136"/>
      <c r="M2" s="1136"/>
      <c r="N2" s="1136"/>
    </row>
    <row r="3" spans="1:26" s="777" customFormat="1" ht="16.5" customHeight="1" x14ac:dyDescent="0.2">
      <c r="A3" s="1127" t="s">
        <v>1011</v>
      </c>
      <c r="B3" s="1124"/>
      <c r="C3" s="1124"/>
      <c r="D3" s="1124"/>
      <c r="E3" s="1124"/>
      <c r="F3" s="1124"/>
      <c r="G3" s="1124"/>
      <c r="H3" s="677"/>
      <c r="I3" s="1128"/>
      <c r="J3" s="1126"/>
      <c r="K3" s="1126"/>
      <c r="L3" s="1126"/>
      <c r="M3" s="1126"/>
      <c r="N3" s="1126"/>
    </row>
    <row r="4" spans="1:26" s="1234" customFormat="1" ht="16.899999999999999" customHeight="1" x14ac:dyDescent="0.2">
      <c r="A4" s="1235"/>
      <c r="B4" s="788"/>
      <c r="C4" s="1135"/>
      <c r="D4" s="772"/>
      <c r="E4" s="772"/>
      <c r="F4" s="772"/>
      <c r="G4" s="772"/>
      <c r="H4" s="677"/>
      <c r="I4" s="1132"/>
      <c r="J4" s="1132"/>
      <c r="K4" s="1136"/>
      <c r="L4" s="1136"/>
      <c r="M4" s="1136"/>
      <c r="N4" s="1136"/>
    </row>
    <row r="5" spans="1:26" s="677" customFormat="1" ht="16.899999999999999" customHeight="1" x14ac:dyDescent="0.2">
      <c r="A5" s="788"/>
      <c r="B5" s="788"/>
      <c r="C5" s="1135"/>
      <c r="D5" s="1135"/>
      <c r="E5" s="1135"/>
      <c r="F5" s="1135"/>
      <c r="G5" s="1135"/>
      <c r="I5" s="1132"/>
      <c r="J5" s="1132"/>
      <c r="K5" s="1132"/>
      <c r="L5" s="1132"/>
      <c r="M5" s="1132"/>
      <c r="N5" s="1132"/>
    </row>
    <row r="6" spans="1:26" s="677" customFormat="1" ht="16.899999999999999" customHeight="1" x14ac:dyDescent="0.2">
      <c r="A6" s="788"/>
      <c r="B6" s="788"/>
      <c r="C6" s="1135"/>
      <c r="D6" s="1135"/>
      <c r="E6" s="1135"/>
      <c r="F6" s="1135"/>
      <c r="G6" s="1135"/>
      <c r="I6" s="1132"/>
      <c r="J6" s="1132"/>
      <c r="K6" s="1132"/>
      <c r="L6" s="1132"/>
      <c r="M6" s="1132"/>
      <c r="N6" s="1132"/>
    </row>
    <row r="7" spans="1:26" s="1234" customFormat="1" ht="16.899999999999999" customHeight="1" x14ac:dyDescent="0.2">
      <c r="A7" s="1235"/>
      <c r="B7" s="788"/>
      <c r="C7" s="1135"/>
      <c r="D7" s="772"/>
      <c r="E7" s="772"/>
      <c r="F7" s="772"/>
      <c r="G7" s="772"/>
      <c r="H7" s="677"/>
      <c r="I7" s="1132"/>
      <c r="J7" s="1132"/>
      <c r="K7" s="1136"/>
      <c r="L7" s="1136"/>
      <c r="M7" s="1136"/>
      <c r="N7" s="1136"/>
    </row>
    <row r="8" spans="1:26" s="22" customFormat="1" ht="16.899999999999999" customHeight="1" x14ac:dyDescent="0.2">
      <c r="A8" s="54" t="s">
        <v>241</v>
      </c>
      <c r="B8" s="26" t="s">
        <v>606</v>
      </c>
      <c r="C8" s="248"/>
      <c r="D8" s="248"/>
      <c r="E8" s="248"/>
      <c r="F8" s="248"/>
      <c r="G8" s="248"/>
      <c r="H8" s="193"/>
      <c r="I8" s="247" t="str">
        <f>B8</f>
        <v>Fiscal year ended (after analysis adjustments)</v>
      </c>
      <c r="J8" s="269"/>
      <c r="K8" s="269"/>
      <c r="L8" s="269"/>
      <c r="M8" s="269"/>
      <c r="N8" s="269"/>
      <c r="O8" s="1284" t="s">
        <v>998</v>
      </c>
      <c r="P8" s="677"/>
      <c r="Q8" s="677"/>
      <c r="R8" s="677"/>
      <c r="S8" s="677"/>
      <c r="T8" s="677"/>
      <c r="U8" s="677"/>
      <c r="V8" s="677"/>
      <c r="W8" s="677"/>
      <c r="X8" s="677"/>
      <c r="Y8" s="677"/>
      <c r="Z8" s="677"/>
    </row>
    <row r="9" spans="1:26" s="65" customFormat="1" ht="16.899999999999999" customHeight="1" x14ac:dyDescent="0.2">
      <c r="A9" s="1162"/>
      <c r="B9" s="62">
        <f>C9-1</f>
        <v>2010</v>
      </c>
      <c r="C9" s="62">
        <f>'BS Analysis Adjustments'!AZ3</f>
        <v>2011</v>
      </c>
      <c r="D9" s="62">
        <f>'BS Analysis Adjustments'!BA3</f>
        <v>2012</v>
      </c>
      <c r="E9" s="62">
        <f>'BS Analysis Adjustments'!BB3</f>
        <v>2013</v>
      </c>
      <c r="F9" s="62">
        <f>'BS Analysis Adjustments'!BC3</f>
        <v>2014</v>
      </c>
      <c r="G9" s="62">
        <f>'BS Analysis Adjustments'!BD3</f>
        <v>2015</v>
      </c>
      <c r="H9" s="193"/>
      <c r="I9" s="69">
        <f>B9</f>
        <v>2010</v>
      </c>
      <c r="J9" s="69">
        <f>C9</f>
        <v>2011</v>
      </c>
      <c r="K9" s="69">
        <f>D9</f>
        <v>2012</v>
      </c>
      <c r="L9" s="69">
        <f>E9</f>
        <v>2013</v>
      </c>
      <c r="M9" s="69">
        <f>F9</f>
        <v>2014</v>
      </c>
      <c r="N9" s="69">
        <f>G9</f>
        <v>2015</v>
      </c>
      <c r="O9" s="1285"/>
      <c r="P9" s="1162"/>
      <c r="Q9" s="1162"/>
      <c r="R9" s="1162"/>
      <c r="S9" s="1162"/>
      <c r="T9" s="1162"/>
      <c r="U9" s="1162"/>
      <c r="V9" s="1162"/>
      <c r="W9" s="1162"/>
      <c r="X9" s="1162"/>
      <c r="Y9" s="1162"/>
      <c r="Z9" s="1162"/>
    </row>
    <row r="10" spans="1:26" s="1133" customFormat="1" ht="16.899999999999999" customHeight="1" x14ac:dyDescent="0.2">
      <c r="A10" s="1134" t="s">
        <v>101</v>
      </c>
      <c r="B10" s="788"/>
      <c r="C10" s="1235"/>
      <c r="D10" s="1235"/>
      <c r="E10" s="1235"/>
      <c r="F10" s="1235"/>
      <c r="G10" s="1235"/>
      <c r="H10" s="677"/>
      <c r="I10" s="1132"/>
      <c r="J10" s="1233"/>
      <c r="K10" s="1233"/>
      <c r="L10" s="1233"/>
      <c r="M10" s="1233"/>
      <c r="N10" s="1233"/>
      <c r="O10" s="1234"/>
      <c r="P10" s="1234"/>
      <c r="Q10" s="1234"/>
      <c r="R10" s="1234"/>
      <c r="S10" s="1234"/>
      <c r="T10" s="1234"/>
      <c r="U10" s="1234"/>
      <c r="V10" s="1234"/>
      <c r="W10" s="1234"/>
      <c r="X10" s="1234"/>
      <c r="Y10" s="1234"/>
      <c r="Z10" s="1234"/>
    </row>
    <row r="11" spans="1:26" s="18" customFormat="1" ht="16.899999999999999" customHeight="1" x14ac:dyDescent="0.2">
      <c r="A11" s="5" t="s">
        <v>102</v>
      </c>
      <c r="B11" s="677"/>
      <c r="C11" s="1234"/>
      <c r="D11" s="1234"/>
      <c r="E11" s="1234"/>
      <c r="F11" s="1234"/>
      <c r="G11" s="1234"/>
      <c r="H11" s="677"/>
      <c r="I11" s="1072"/>
      <c r="J11" s="793"/>
      <c r="K11" s="793"/>
      <c r="L11" s="793"/>
      <c r="M11" s="793"/>
      <c r="N11" s="793"/>
      <c r="O11" s="1234"/>
      <c r="P11" s="1234"/>
      <c r="Q11" s="1234"/>
      <c r="R11" s="1234"/>
      <c r="S11" s="1234"/>
      <c r="T11" s="1234"/>
      <c r="U11" s="1234"/>
      <c r="V11" s="1234"/>
      <c r="W11" s="1234"/>
      <c r="X11" s="1234"/>
      <c r="Y11" s="1234"/>
      <c r="Z11" s="1234"/>
    </row>
    <row r="12" spans="1:26" s="10" customFormat="1" ht="16.899999999999999" customHeight="1" x14ac:dyDescent="0.2">
      <c r="A12" s="32" t="str">
        <f>'BS Analysis Adjustments'!A6</f>
        <v>Cash and cash equivalents</v>
      </c>
      <c r="B12" s="693">
        <v>1506</v>
      </c>
      <c r="C12" s="27">
        <f>'BS Analysis Adjustments'!AZ6</f>
        <v>1877</v>
      </c>
      <c r="D12" s="27">
        <f>'BS Analysis Adjustments'!BA6</f>
        <v>1285</v>
      </c>
      <c r="E12" s="27">
        <f>'BS Analysis Adjustments'!BB6</f>
        <v>1194</v>
      </c>
      <c r="F12" s="27">
        <f>'BS Analysis Adjustments'!BC6</f>
        <v>827</v>
      </c>
      <c r="G12" s="27">
        <f>'BS Analysis Adjustments'!BD6</f>
        <v>595</v>
      </c>
      <c r="H12" s="193"/>
      <c r="I12" s="70">
        <f>B12/B$29</f>
        <v>0.20182256767622622</v>
      </c>
      <c r="J12" s="70">
        <f t="shared" ref="J12:N13" si="0">C12/C$29</f>
        <v>0.17403801576263328</v>
      </c>
      <c r="K12" s="70">
        <f t="shared" si="0"/>
        <v>0.11412078152753108</v>
      </c>
      <c r="L12" s="70">
        <f t="shared" si="0"/>
        <v>9.7358121330724065E-2</v>
      </c>
      <c r="M12" s="70">
        <f t="shared" si="0"/>
        <v>6.282762288232166E-2</v>
      </c>
      <c r="N12" s="70">
        <f t="shared" si="0"/>
        <v>4.9924483973821113E-2</v>
      </c>
      <c r="O12" s="1288" t="s">
        <v>19</v>
      </c>
      <c r="P12" s="682"/>
      <c r="Q12" s="682"/>
      <c r="R12" s="682"/>
      <c r="S12" s="682"/>
      <c r="T12" s="682"/>
      <c r="U12" s="682"/>
      <c r="V12" s="682"/>
      <c r="W12" s="682"/>
      <c r="X12" s="682"/>
      <c r="Y12" s="682"/>
      <c r="Z12" s="682"/>
    </row>
    <row r="13" spans="1:26" s="10" customFormat="1" ht="16.899999999999999" customHeight="1" x14ac:dyDescent="0.2">
      <c r="A13" s="32" t="str">
        <f>'BS Analysis Adjustments'!A7</f>
        <v>Investment securities AFS</v>
      </c>
      <c r="B13" s="231">
        <v>0</v>
      </c>
      <c r="C13" s="27">
        <f>'BS Analysis Adjustments'!AZ7</f>
        <v>0</v>
      </c>
      <c r="D13" s="27">
        <f>'BS Analysis Adjustments'!BA7</f>
        <v>0</v>
      </c>
      <c r="E13" s="27">
        <f>'BS Analysis Adjustments'!BB7</f>
        <v>0</v>
      </c>
      <c r="F13" s="27">
        <f>'BS Analysis Adjustments'!BC7</f>
        <v>0</v>
      </c>
      <c r="G13" s="27">
        <f>'BS Analysis Adjustments'!BD7</f>
        <v>0</v>
      </c>
      <c r="H13" s="193"/>
      <c r="I13" s="70">
        <f>B13/B$29</f>
        <v>0</v>
      </c>
      <c r="J13" s="70">
        <f t="shared" si="0"/>
        <v>0</v>
      </c>
      <c r="K13" s="70">
        <f t="shared" si="0"/>
        <v>0</v>
      </c>
      <c r="L13" s="70">
        <f t="shared" si="0"/>
        <v>0</v>
      </c>
      <c r="M13" s="70">
        <f t="shared" si="0"/>
        <v>0</v>
      </c>
      <c r="N13" s="70">
        <f t="shared" si="0"/>
        <v>0</v>
      </c>
      <c r="O13" s="1289"/>
      <c r="P13" s="682"/>
      <c r="Q13" s="682"/>
      <c r="R13" s="682"/>
      <c r="S13" s="682"/>
      <c r="T13" s="682"/>
      <c r="U13" s="682"/>
      <c r="V13" s="682"/>
      <c r="W13" s="682"/>
      <c r="X13" s="682"/>
      <c r="Y13" s="682"/>
      <c r="Z13" s="682"/>
    </row>
    <row r="14" spans="1:26" s="27" customFormat="1" ht="16.899999999999999" customHeight="1" x14ac:dyDescent="0.2">
      <c r="A14" s="32" t="str">
        <f>'BS Analysis Adjustments'!A8</f>
        <v>AR, gross</v>
      </c>
      <c r="B14" s="231">
        <v>2171</v>
      </c>
      <c r="C14" s="27">
        <f>'BS Analysis Adjustments'!AZ8</f>
        <v>2148</v>
      </c>
      <c r="D14" s="27">
        <f>'BS Analysis Adjustments'!BA8</f>
        <v>2214</v>
      </c>
      <c r="E14" s="27">
        <f>'BS Analysis Adjustments'!BB8</f>
        <v>2257</v>
      </c>
      <c r="F14" s="27">
        <f>'BS Analysis Adjustments'!BC8</f>
        <v>2381</v>
      </c>
      <c r="G14" s="27">
        <f>'BS Analysis Adjustments'!BD8</f>
        <v>197</v>
      </c>
      <c r="H14" s="193"/>
      <c r="I14" s="70">
        <f>B14/B$29</f>
        <v>0.29094076655052264</v>
      </c>
      <c r="J14" s="70">
        <f>C14/C$29</f>
        <v>0.19916550764951321</v>
      </c>
      <c r="K14" s="70">
        <f>D14/D$29</f>
        <v>0.19662522202486679</v>
      </c>
      <c r="L14" s="70">
        <f>E14/E$29</f>
        <v>0.18403457273320287</v>
      </c>
      <c r="M14" s="70">
        <f>F14/F$29</f>
        <v>0.18088581630327433</v>
      </c>
      <c r="N14" s="70">
        <f>G14/G$29</f>
        <v>1.6529619063601276E-2</v>
      </c>
      <c r="O14" s="1289"/>
      <c r="P14" s="718"/>
      <c r="Q14" s="718"/>
      <c r="R14" s="718"/>
      <c r="S14" s="718"/>
      <c r="T14" s="718"/>
      <c r="U14" s="718"/>
      <c r="V14" s="718"/>
      <c r="W14" s="718"/>
      <c r="X14" s="718"/>
      <c r="Y14" s="718"/>
      <c r="Z14" s="718"/>
    </row>
    <row r="15" spans="1:26" s="22" customFormat="1" ht="16.899999999999999" customHeight="1" x14ac:dyDescent="0.2">
      <c r="A15" s="41" t="str">
        <f>'BS Analysis Adjustments'!A9</f>
        <v>Less: Allowance for bad debts</v>
      </c>
      <c r="B15" s="258">
        <v>-145</v>
      </c>
      <c r="C15" s="259">
        <f>'BS Analysis Adjustments'!AZ9</f>
        <v>-115</v>
      </c>
      <c r="D15" s="259">
        <f>'BS Analysis Adjustments'!BA9</f>
        <v>-85</v>
      </c>
      <c r="E15" s="259">
        <f>'BS Analysis Adjustments'!BB9</f>
        <v>-80</v>
      </c>
      <c r="F15" s="259">
        <f>'BS Analysis Adjustments'!BC9</f>
        <v>-75</v>
      </c>
      <c r="G15" s="259">
        <f>'BS Analysis Adjustments'!BD9</f>
        <v>-1</v>
      </c>
      <c r="H15" s="193"/>
      <c r="I15" s="260">
        <f t="shared" ref="I15:I28" si="1">B15/B$29</f>
        <v>-1.9431787724470653E-2</v>
      </c>
      <c r="J15" s="260">
        <f t="shared" ref="J15:J28" si="2">C15/C$29</f>
        <v>-1.0662957811775614E-2</v>
      </c>
      <c r="K15" s="260">
        <f t="shared" ref="K15:K28" si="3">D15/D$29</f>
        <v>-7.5488454706927176E-3</v>
      </c>
      <c r="L15" s="260">
        <f t="shared" ref="L15:L28" si="4">E15/E$29</f>
        <v>-6.5231572080887146E-3</v>
      </c>
      <c r="M15" s="260">
        <f t="shared" ref="M15:M28" si="5">F15/F$29</f>
        <v>-5.6977892577679858E-3</v>
      </c>
      <c r="N15" s="260">
        <f t="shared" ref="N15:N28" si="6">G15/G$29</f>
        <v>-8.39066957543212E-5</v>
      </c>
      <c r="O15" s="1289"/>
      <c r="P15" s="677"/>
      <c r="Q15" s="677"/>
      <c r="R15" s="677"/>
      <c r="S15" s="677"/>
      <c r="T15" s="677"/>
      <c r="U15" s="677"/>
      <c r="V15" s="677"/>
      <c r="W15" s="677"/>
      <c r="X15" s="677"/>
      <c r="Y15" s="677"/>
      <c r="Z15" s="677"/>
    </row>
    <row r="16" spans="1:26" s="250" customFormat="1" ht="16.899999999999999" customHeight="1" x14ac:dyDescent="0.2">
      <c r="A16" s="255" t="str">
        <f>'BS Analysis Adjustments'!A10</f>
        <v>AR, net</v>
      </c>
      <c r="B16" s="22">
        <f>SUM(B14:B15)</f>
        <v>2026</v>
      </c>
      <c r="C16" s="22">
        <f t="shared" ref="C16:G16" si="7">SUM(C14:C15)</f>
        <v>2033</v>
      </c>
      <c r="D16" s="22">
        <f t="shared" si="7"/>
        <v>2129</v>
      </c>
      <c r="E16" s="22">
        <f t="shared" si="7"/>
        <v>2177</v>
      </c>
      <c r="F16" s="22">
        <f t="shared" si="7"/>
        <v>2306</v>
      </c>
      <c r="G16" s="22">
        <f t="shared" si="7"/>
        <v>196</v>
      </c>
      <c r="H16" s="193"/>
      <c r="I16" s="261">
        <f t="shared" si="1"/>
        <v>0.27150897882605202</v>
      </c>
      <c r="J16" s="261">
        <f t="shared" si="2"/>
        <v>0.18850254983773759</v>
      </c>
      <c r="K16" s="261">
        <f t="shared" si="3"/>
        <v>0.18907637655417406</v>
      </c>
      <c r="L16" s="261">
        <f t="shared" si="4"/>
        <v>0.17751141552511415</v>
      </c>
      <c r="M16" s="261">
        <f t="shared" si="5"/>
        <v>0.17518802704550634</v>
      </c>
      <c r="N16" s="261">
        <f t="shared" si="6"/>
        <v>1.6445712367846956E-2</v>
      </c>
      <c r="O16" s="1289"/>
      <c r="P16" s="1163"/>
      <c r="Q16" s="1163"/>
      <c r="R16" s="1163"/>
      <c r="S16" s="1163"/>
      <c r="T16" s="1163"/>
      <c r="U16" s="1163"/>
      <c r="V16" s="1163"/>
      <c r="W16" s="1163"/>
      <c r="X16" s="1163"/>
      <c r="Y16" s="1163"/>
      <c r="Z16" s="1163"/>
    </row>
    <row r="17" spans="1:26" s="10" customFormat="1" ht="16.899999999999999" customHeight="1" x14ac:dyDescent="0.2">
      <c r="A17" s="104" t="str">
        <f>'BS Analysis Adjustments'!A11</f>
        <v xml:space="preserve"> Inventory (LOCOM, retail average cost)</v>
      </c>
      <c r="B17" s="231">
        <v>977</v>
      </c>
      <c r="C17" s="27">
        <f>'BS Analysis Adjustments'!AZ11</f>
        <v>1148</v>
      </c>
      <c r="D17" s="27">
        <f>'BS Analysis Adjustments'!BA11</f>
        <v>1360</v>
      </c>
      <c r="E17" s="27">
        <f>'BS Analysis Adjustments'!BB11</f>
        <v>1531</v>
      </c>
      <c r="F17" s="27">
        <f>'BS Analysis Adjustments'!BC11</f>
        <v>1733</v>
      </c>
      <c r="G17" s="27">
        <f>'BS Analysis Adjustments'!BD11</f>
        <v>1945</v>
      </c>
      <c r="H17" s="193"/>
      <c r="I17" s="70">
        <f t="shared" si="1"/>
        <v>0.13093004556419191</v>
      </c>
      <c r="J17" s="70">
        <f t="shared" si="2"/>
        <v>0.10644413537320352</v>
      </c>
      <c r="K17" s="70">
        <f t="shared" si="3"/>
        <v>0.12078152753108348</v>
      </c>
      <c r="L17" s="70">
        <f t="shared" si="4"/>
        <v>0.12483692106979778</v>
      </c>
      <c r="M17" s="70">
        <f t="shared" si="5"/>
        <v>0.13165691711615893</v>
      </c>
      <c r="N17" s="70">
        <f t="shared" si="6"/>
        <v>0.16319852324215472</v>
      </c>
      <c r="O17" s="1289"/>
      <c r="P17" s="682"/>
      <c r="Q17" s="682"/>
      <c r="R17" s="682"/>
      <c r="S17" s="682"/>
      <c r="T17" s="682"/>
      <c r="U17" s="682"/>
      <c r="V17" s="682"/>
      <c r="W17" s="682"/>
      <c r="X17" s="682"/>
      <c r="Y17" s="682"/>
      <c r="Z17" s="682"/>
    </row>
    <row r="18" spans="1:26" s="10" customFormat="1" ht="16.899999999999999" customHeight="1" x14ac:dyDescent="0.2">
      <c r="A18" s="32" t="str">
        <f>'BS Analysis Adjustments'!A12</f>
        <v>DIT assets–current</v>
      </c>
      <c r="B18" s="231">
        <v>236</v>
      </c>
      <c r="C18" s="27">
        <f>'BS Analysis Adjustments'!AZ12</f>
        <v>220</v>
      </c>
      <c r="D18" s="27">
        <f>'BS Analysis Adjustments'!BA12</f>
        <v>227</v>
      </c>
      <c r="E18" s="27">
        <f>'BS Analysis Adjustments'!BB12</f>
        <v>239</v>
      </c>
      <c r="F18" s="27">
        <f>'BS Analysis Adjustments'!BC12</f>
        <v>256</v>
      </c>
      <c r="G18" s="27">
        <f>'BS Analysis Adjustments'!BD12</f>
        <v>0</v>
      </c>
      <c r="H18" s="193"/>
      <c r="I18" s="70">
        <f t="shared" si="1"/>
        <v>3.1626909675690165E-2</v>
      </c>
      <c r="J18" s="70">
        <f t="shared" si="2"/>
        <v>2.0398701900788133E-2</v>
      </c>
      <c r="K18" s="70">
        <f t="shared" si="3"/>
        <v>2.0159857904085258E-2</v>
      </c>
      <c r="L18" s="70">
        <f t="shared" si="4"/>
        <v>1.9487932159165035E-2</v>
      </c>
      <c r="M18" s="70">
        <f t="shared" si="5"/>
        <v>1.9448453999848059E-2</v>
      </c>
      <c r="N18" s="70">
        <f t="shared" si="6"/>
        <v>0</v>
      </c>
      <c r="O18" s="1289"/>
      <c r="P18" s="682"/>
      <c r="Q18" s="682"/>
      <c r="R18" s="682"/>
      <c r="S18" s="682"/>
      <c r="T18" s="682"/>
      <c r="U18" s="682"/>
      <c r="V18" s="682"/>
      <c r="W18" s="682"/>
      <c r="X18" s="682"/>
      <c r="Y18" s="682"/>
      <c r="Z18" s="682"/>
    </row>
    <row r="19" spans="1:26" s="11" customFormat="1" ht="16.899999999999999" customHeight="1" x14ac:dyDescent="0.2">
      <c r="A19" s="81" t="str">
        <f>'BS Analysis Adjustments'!A13</f>
        <v>Other current assets</v>
      </c>
      <c r="B19" s="258">
        <v>79</v>
      </c>
      <c r="C19" s="259">
        <f>'BS Analysis Adjustments'!AZ13</f>
        <v>1555</v>
      </c>
      <c r="D19" s="259">
        <f>'BS Analysis Adjustments'!BA13</f>
        <v>1509</v>
      </c>
      <c r="E19" s="259">
        <f>'BS Analysis Adjustments'!BB13</f>
        <v>1537</v>
      </c>
      <c r="F19" s="259">
        <f>'BS Analysis Adjustments'!BC13</f>
        <v>1911</v>
      </c>
      <c r="G19" s="259">
        <f>'BS Analysis Adjustments'!BD13</f>
        <v>1969</v>
      </c>
      <c r="H19" s="193"/>
      <c r="I19" s="260">
        <f t="shared" si="1"/>
        <v>1.0586974001608148E-2</v>
      </c>
      <c r="J19" s="260">
        <f t="shared" si="2"/>
        <v>0.14418173388966157</v>
      </c>
      <c r="K19" s="260">
        <f t="shared" si="3"/>
        <v>0.13401420959147425</v>
      </c>
      <c r="L19" s="260">
        <f t="shared" si="4"/>
        <v>0.12532615786040444</v>
      </c>
      <c r="M19" s="260">
        <f t="shared" si="5"/>
        <v>0.14517967028792828</v>
      </c>
      <c r="N19" s="260">
        <f t="shared" si="6"/>
        <v>0.16521228394025844</v>
      </c>
      <c r="O19" s="1289"/>
      <c r="P19" s="1164"/>
      <c r="Q19" s="1164"/>
      <c r="R19" s="1164"/>
      <c r="S19" s="1164"/>
      <c r="T19" s="1164"/>
      <c r="U19" s="1164"/>
      <c r="V19" s="1164"/>
      <c r="W19" s="1164"/>
      <c r="X19" s="1164"/>
      <c r="Y19" s="1164"/>
      <c r="Z19" s="1164"/>
    </row>
    <row r="20" spans="1:26" s="22" customFormat="1" ht="16.899999999999999" customHeight="1" x14ac:dyDescent="0.2">
      <c r="A20" s="2" t="str">
        <f>'BS Analysis Adjustments'!A14</f>
        <v>Total current assets</v>
      </c>
      <c r="B20" s="250">
        <f t="shared" ref="B20:G20" si="8">SUM(B12:B13,B16:B19)</f>
        <v>4824</v>
      </c>
      <c r="C20" s="250">
        <f t="shared" si="8"/>
        <v>6833</v>
      </c>
      <c r="D20" s="250">
        <f t="shared" si="8"/>
        <v>6510</v>
      </c>
      <c r="E20" s="250">
        <f t="shared" si="8"/>
        <v>6678</v>
      </c>
      <c r="F20" s="250">
        <f t="shared" si="8"/>
        <v>7033</v>
      </c>
      <c r="G20" s="250">
        <f t="shared" si="8"/>
        <v>4705</v>
      </c>
      <c r="H20" s="193"/>
      <c r="I20" s="253">
        <f t="shared" si="1"/>
        <v>0.6464754757437684</v>
      </c>
      <c r="J20" s="253">
        <f t="shared" si="2"/>
        <v>0.63356513676402415</v>
      </c>
      <c r="K20" s="253">
        <f t="shared" si="3"/>
        <v>0.57815275310834813</v>
      </c>
      <c r="L20" s="253">
        <f t="shared" si="4"/>
        <v>0.54452054794520544</v>
      </c>
      <c r="M20" s="253">
        <f t="shared" si="5"/>
        <v>0.53430069133176328</v>
      </c>
      <c r="N20" s="253">
        <f t="shared" si="6"/>
        <v>0.39478100352408124</v>
      </c>
      <c r="O20" s="1289"/>
      <c r="P20" s="677"/>
      <c r="Q20" s="677"/>
      <c r="R20" s="677"/>
      <c r="S20" s="677"/>
      <c r="T20" s="677"/>
      <c r="U20" s="677"/>
      <c r="V20" s="677"/>
      <c r="W20" s="677"/>
      <c r="X20" s="677"/>
      <c r="Y20" s="677"/>
      <c r="Z20" s="677"/>
    </row>
    <row r="21" spans="1:26" s="1234" customFormat="1" ht="9" customHeight="1" x14ac:dyDescent="0.2">
      <c r="A21" s="1235"/>
      <c r="B21" s="677"/>
      <c r="C21" s="677"/>
      <c r="D21" s="677"/>
      <c r="E21" s="677"/>
      <c r="F21" s="677"/>
      <c r="G21" s="677"/>
      <c r="H21" s="677"/>
      <c r="I21" s="1072"/>
      <c r="J21" s="1072"/>
      <c r="K21" s="1072"/>
      <c r="L21" s="1072"/>
      <c r="M21" s="1072"/>
      <c r="N21" s="1072"/>
    </row>
    <row r="22" spans="1:26" s="10" customFormat="1" ht="16.899999999999999" customHeight="1" x14ac:dyDescent="0.2">
      <c r="A22" s="32" t="str">
        <f>'BS Analysis Adjustments'!A16</f>
        <v>PP&amp;E, at cost</v>
      </c>
      <c r="B22" s="231">
        <v>5838</v>
      </c>
      <c r="C22" s="27">
        <f>'BS Analysis Adjustments'!AZ16</f>
        <v>7111</v>
      </c>
      <c r="D22" s="27">
        <f>'BS Analysis Adjustments'!BA16</f>
        <v>7913</v>
      </c>
      <c r="E22" s="27">
        <f>'BS Analysis Adjustments'!BB16</f>
        <v>8909</v>
      </c>
      <c r="F22" s="27">
        <f>'BS Analysis Adjustments'!BC16</f>
        <v>9864</v>
      </c>
      <c r="G22" s="27">
        <f>'BS Analysis Adjustments'!BD16</f>
        <v>11053</v>
      </c>
      <c r="H22" s="193"/>
      <c r="I22" s="70">
        <f t="shared" si="1"/>
        <v>0.78236397748592867</v>
      </c>
      <c r="J22" s="70">
        <f t="shared" si="2"/>
        <v>0.6593416782568382</v>
      </c>
      <c r="K22" s="70">
        <f t="shared" si="3"/>
        <v>0.70275310834813498</v>
      </c>
      <c r="L22" s="70">
        <f t="shared" si="4"/>
        <v>0.72643509458577948</v>
      </c>
      <c r="M22" s="70">
        <f t="shared" si="5"/>
        <v>0.74937324318164555</v>
      </c>
      <c r="N22" s="70">
        <f t="shared" si="6"/>
        <v>0.92742070817251221</v>
      </c>
      <c r="O22" s="1288" t="s">
        <v>1078</v>
      </c>
      <c r="P22" s="682"/>
      <c r="Q22" s="682"/>
      <c r="R22" s="682"/>
      <c r="S22" s="682"/>
      <c r="T22" s="682"/>
      <c r="U22" s="682"/>
      <c r="V22" s="682"/>
      <c r="W22" s="682"/>
      <c r="X22" s="682"/>
      <c r="Y22" s="682"/>
      <c r="Z22" s="682"/>
    </row>
    <row r="23" spans="1:26" s="11" customFormat="1" ht="16.899999999999999" customHeight="1" x14ac:dyDescent="0.2">
      <c r="A23" s="81" t="str">
        <f>'BS Analysis Adjustments'!A17</f>
        <v>Less: Accumulated depreciation of PP&amp;E</v>
      </c>
      <c r="B23" s="258">
        <v>-3520</v>
      </c>
      <c r="C23" s="259">
        <f>'BS Analysis Adjustments'!AZ17</f>
        <v>-3791</v>
      </c>
      <c r="D23" s="259">
        <f>'BS Analysis Adjustments'!BA17</f>
        <v>-4064</v>
      </c>
      <c r="E23" s="259">
        <f>'BS Analysis Adjustments'!BB17</f>
        <v>-4395</v>
      </c>
      <c r="F23" s="259">
        <f>'BS Analysis Adjustments'!BC17</f>
        <v>-4698</v>
      </c>
      <c r="G23" s="259">
        <f>'BS Analysis Adjustments'!BD17</f>
        <v>-5108</v>
      </c>
      <c r="H23" s="193"/>
      <c r="I23" s="260">
        <f t="shared" si="1"/>
        <v>-0.47172339855266687</v>
      </c>
      <c r="J23" s="260">
        <f t="shared" si="2"/>
        <v>-0.35150672229949004</v>
      </c>
      <c r="K23" s="260">
        <f t="shared" si="3"/>
        <v>-0.36092362344582596</v>
      </c>
      <c r="L23" s="260">
        <f t="shared" si="4"/>
        <v>-0.35836594911937375</v>
      </c>
      <c r="M23" s="260">
        <f t="shared" si="5"/>
        <v>-0.35690951910658664</v>
      </c>
      <c r="N23" s="260">
        <f t="shared" si="6"/>
        <v>-0.42859540191307266</v>
      </c>
      <c r="O23" s="1289"/>
      <c r="P23" s="1164"/>
      <c r="Q23" s="1164"/>
      <c r="R23" s="1164"/>
      <c r="S23" s="1164"/>
      <c r="T23" s="1164"/>
      <c r="U23" s="1164"/>
      <c r="V23" s="1164"/>
      <c r="W23" s="1164"/>
      <c r="X23" s="1164"/>
      <c r="Y23" s="1164"/>
      <c r="Z23" s="1164"/>
    </row>
    <row r="24" spans="1:26" s="48" customFormat="1" ht="16.899999999999999" customHeight="1" x14ac:dyDescent="0.2">
      <c r="A24" s="255" t="str">
        <f>'BS Analysis Adjustments'!A18</f>
        <v>PP&amp;E, net</v>
      </c>
      <c r="B24" s="250">
        <f t="shared" ref="B24:G24" si="9">SUM(B22:B23)</f>
        <v>2318</v>
      </c>
      <c r="C24" s="250">
        <f t="shared" si="9"/>
        <v>3320</v>
      </c>
      <c r="D24" s="250">
        <f t="shared" si="9"/>
        <v>3849</v>
      </c>
      <c r="E24" s="250">
        <f t="shared" si="9"/>
        <v>4514</v>
      </c>
      <c r="F24" s="250">
        <f t="shared" si="9"/>
        <v>5166</v>
      </c>
      <c r="G24" s="250">
        <f t="shared" si="9"/>
        <v>5945</v>
      </c>
      <c r="H24" s="193"/>
      <c r="I24" s="261">
        <f t="shared" si="1"/>
        <v>0.31064057893326186</v>
      </c>
      <c r="J24" s="261">
        <f t="shared" si="2"/>
        <v>0.30783495595734817</v>
      </c>
      <c r="K24" s="261">
        <f t="shared" si="3"/>
        <v>0.34182948490230908</v>
      </c>
      <c r="L24" s="261">
        <f t="shared" si="4"/>
        <v>0.36806914546640573</v>
      </c>
      <c r="M24" s="261">
        <f t="shared" si="5"/>
        <v>0.39246372407505886</v>
      </c>
      <c r="N24" s="261">
        <f t="shared" si="6"/>
        <v>0.49882530625943949</v>
      </c>
      <c r="O24" s="1289"/>
      <c r="P24" s="717"/>
      <c r="Q24" s="717"/>
      <c r="R24" s="717"/>
      <c r="S24" s="717"/>
      <c r="T24" s="717"/>
      <c r="U24" s="717"/>
      <c r="V24" s="717"/>
      <c r="W24" s="717"/>
      <c r="X24" s="717"/>
      <c r="Y24" s="717"/>
      <c r="Z24" s="717"/>
    </row>
    <row r="25" spans="1:26" s="10" customFormat="1" ht="16.899999999999999" customHeight="1" x14ac:dyDescent="0.2">
      <c r="A25" s="32" t="str">
        <f>'BS Analysis Adjustments'!A19</f>
        <v>Goodwill, net impairment write-downs</v>
      </c>
      <c r="B25" s="231">
        <v>53</v>
      </c>
      <c r="C25" s="27">
        <f>'BS Analysis Adjustments'!AZ19</f>
        <v>175</v>
      </c>
      <c r="D25" s="27">
        <f>'BS Analysis Adjustments'!BA19</f>
        <v>175</v>
      </c>
      <c r="E25" s="27">
        <f>'BS Analysis Adjustments'!BB19</f>
        <v>175</v>
      </c>
      <c r="F25" s="27">
        <f>'BS Analysis Adjustments'!BC19</f>
        <v>435</v>
      </c>
      <c r="G25" s="27">
        <f>'BS Analysis Adjustments'!BD19</f>
        <v>435</v>
      </c>
      <c r="H25" s="193"/>
      <c r="I25" s="70">
        <f t="shared" si="1"/>
        <v>7.1026534441168592E-3</v>
      </c>
      <c r="J25" s="70">
        <f t="shared" si="2"/>
        <v>1.6226240148354196E-2</v>
      </c>
      <c r="K25" s="70">
        <f t="shared" si="3"/>
        <v>1.5541740674955595E-2</v>
      </c>
      <c r="L25" s="70">
        <f t="shared" si="4"/>
        <v>1.4269406392694063E-2</v>
      </c>
      <c r="M25" s="70">
        <f t="shared" si="5"/>
        <v>3.3047177695054317E-2</v>
      </c>
      <c r="N25" s="70">
        <f t="shared" si="6"/>
        <v>3.6499412653129719E-2</v>
      </c>
      <c r="O25" s="1289"/>
      <c r="P25" s="682"/>
      <c r="Q25" s="682"/>
      <c r="R25" s="682"/>
      <c r="S25" s="682"/>
      <c r="T25" s="682"/>
      <c r="U25" s="682"/>
      <c r="V25" s="682"/>
      <c r="W25" s="682"/>
      <c r="X25" s="682"/>
      <c r="Y25" s="682"/>
      <c r="Z25" s="682"/>
    </row>
    <row r="26" spans="1:26" s="10" customFormat="1" ht="16.899999999999999" customHeight="1" x14ac:dyDescent="0.2">
      <c r="A26" s="32" t="str">
        <f>'BS Analysis Adjustments'!A20</f>
        <v>Other intangibles, net amort., impairment</v>
      </c>
      <c r="B26" s="231">
        <v>0</v>
      </c>
      <c r="C26" s="27">
        <f>'BS Analysis Adjustments'!AZ20</f>
        <v>0</v>
      </c>
      <c r="D26" s="27">
        <f>'BS Analysis Adjustments'!BA20</f>
        <v>0</v>
      </c>
      <c r="E26" s="27">
        <f>'BS Analysis Adjustments'!BB20</f>
        <v>0</v>
      </c>
      <c r="F26" s="27">
        <f>'BS Analysis Adjustments'!BC20</f>
        <v>0</v>
      </c>
      <c r="G26" s="27">
        <f>'BS Analysis Adjustments'!BD20</f>
        <v>0</v>
      </c>
      <c r="H26" s="193"/>
      <c r="I26" s="70">
        <f t="shared" si="1"/>
        <v>0</v>
      </c>
      <c r="J26" s="70">
        <f t="shared" si="2"/>
        <v>0</v>
      </c>
      <c r="K26" s="70">
        <f t="shared" si="3"/>
        <v>0</v>
      </c>
      <c r="L26" s="70">
        <f t="shared" si="4"/>
        <v>0</v>
      </c>
      <c r="M26" s="70">
        <f t="shared" si="5"/>
        <v>0</v>
      </c>
      <c r="N26" s="70">
        <f t="shared" si="6"/>
        <v>0</v>
      </c>
      <c r="O26" s="1289"/>
      <c r="P26" s="682"/>
      <c r="Q26" s="682"/>
      <c r="R26" s="682"/>
      <c r="S26" s="682"/>
      <c r="T26" s="682"/>
      <c r="U26" s="682"/>
      <c r="V26" s="682"/>
      <c r="W26" s="682"/>
      <c r="X26" s="682"/>
      <c r="Y26" s="682"/>
      <c r="Z26" s="682"/>
    </row>
    <row r="27" spans="1:26" s="27" customFormat="1" ht="16.899999999999999" customHeight="1" x14ac:dyDescent="0.2">
      <c r="A27" s="32" t="str">
        <f>'BS Analysis Adjustments'!A21</f>
        <v>DIT assets–noncurrent</v>
      </c>
      <c r="B27" s="231">
        <v>0</v>
      </c>
      <c r="C27" s="27">
        <f>'BS Analysis Adjustments'!AZ21</f>
        <v>0</v>
      </c>
      <c r="D27" s="27">
        <f>'BS Analysis Adjustments'!BA21</f>
        <v>0</v>
      </c>
      <c r="E27" s="27">
        <f>'BS Analysis Adjustments'!BB21</f>
        <v>0</v>
      </c>
      <c r="F27" s="27">
        <f>'BS Analysis Adjustments'!BC21</f>
        <v>0</v>
      </c>
      <c r="G27" s="27">
        <f>'BS Analysis Adjustments'!BD21</f>
        <v>0</v>
      </c>
      <c r="H27" s="193"/>
      <c r="I27" s="70">
        <f t="shared" si="1"/>
        <v>0</v>
      </c>
      <c r="J27" s="70">
        <f t="shared" si="2"/>
        <v>0</v>
      </c>
      <c r="K27" s="70">
        <f t="shared" si="3"/>
        <v>0</v>
      </c>
      <c r="L27" s="70">
        <f t="shared" si="4"/>
        <v>0</v>
      </c>
      <c r="M27" s="70">
        <f t="shared" si="5"/>
        <v>0</v>
      </c>
      <c r="N27" s="70">
        <f t="shared" si="6"/>
        <v>0</v>
      </c>
      <c r="O27" s="1289"/>
      <c r="P27" s="718"/>
      <c r="Q27" s="718"/>
      <c r="R27" s="718"/>
      <c r="S27" s="718"/>
      <c r="T27" s="718"/>
      <c r="U27" s="718"/>
      <c r="V27" s="718"/>
      <c r="W27" s="718"/>
      <c r="X27" s="718"/>
      <c r="Y27" s="718"/>
      <c r="Z27" s="718"/>
    </row>
    <row r="28" spans="1:26" s="11" customFormat="1" ht="16.899999999999999" customHeight="1" x14ac:dyDescent="0.2">
      <c r="A28" s="81" t="str">
        <f>'BS Analysis Adjustments'!A22</f>
        <v>Other noncurrent assets</v>
      </c>
      <c r="B28" s="236">
        <v>267</v>
      </c>
      <c r="C28" s="22">
        <f>'BS Analysis Adjustments'!AZ22</f>
        <v>457</v>
      </c>
      <c r="D28" s="22">
        <f>'BS Analysis Adjustments'!BA22</f>
        <v>726</v>
      </c>
      <c r="E28" s="22">
        <f>'BS Analysis Adjustments'!BB22</f>
        <v>897</v>
      </c>
      <c r="F28" s="22">
        <f>'BS Analysis Adjustments'!BC22</f>
        <v>529</v>
      </c>
      <c r="G28" s="22">
        <f>'BS Analysis Adjustments'!BD22</f>
        <v>833</v>
      </c>
      <c r="H28" s="193"/>
      <c r="I28" s="252">
        <f t="shared" si="1"/>
        <v>3.5781291878852851E-2</v>
      </c>
      <c r="J28" s="252">
        <f t="shared" si="2"/>
        <v>4.2373667130273525E-2</v>
      </c>
      <c r="K28" s="252">
        <f t="shared" si="3"/>
        <v>6.4476021314387205E-2</v>
      </c>
      <c r="L28" s="252">
        <f t="shared" si="4"/>
        <v>7.3140900195694719E-2</v>
      </c>
      <c r="M28" s="252">
        <f t="shared" si="5"/>
        <v>4.018840689812353E-2</v>
      </c>
      <c r="N28" s="252">
        <f t="shared" si="6"/>
        <v>6.9894277563349552E-2</v>
      </c>
      <c r="O28" s="1292"/>
      <c r="P28" s="1164"/>
      <c r="Q28" s="1164"/>
      <c r="R28" s="1164"/>
      <c r="S28" s="1164"/>
      <c r="T28" s="1164"/>
      <c r="U28" s="1164"/>
      <c r="V28" s="1164"/>
      <c r="W28" s="1164"/>
      <c r="X28" s="1164"/>
      <c r="Y28" s="1164"/>
      <c r="Z28" s="1164"/>
    </row>
    <row r="29" spans="1:26" s="16" customFormat="1" ht="16.899999999999999" customHeight="1" thickBot="1" x14ac:dyDescent="0.25">
      <c r="A29" s="37" t="str">
        <f>'BS Analysis Adjustments'!A23</f>
        <v>Total assets</v>
      </c>
      <c r="B29" s="29">
        <f>SUM(B20,B24:B28)</f>
        <v>7462</v>
      </c>
      <c r="C29" s="29">
        <f>SUM(C20,C24:C28)</f>
        <v>10785</v>
      </c>
      <c r="D29" s="29">
        <f t="shared" ref="D29:I29" si="10">SUM(D20,D24:D28)</f>
        <v>11260</v>
      </c>
      <c r="E29" s="29">
        <f t="shared" si="10"/>
        <v>12264</v>
      </c>
      <c r="F29" s="29">
        <f t="shared" si="10"/>
        <v>13163</v>
      </c>
      <c r="G29" s="29">
        <f t="shared" si="10"/>
        <v>11918</v>
      </c>
      <c r="H29" s="193"/>
      <c r="I29" s="254">
        <f t="shared" si="10"/>
        <v>1</v>
      </c>
      <c r="J29" s="254">
        <f>SUM(J20,J24:J28)</f>
        <v>1</v>
      </c>
      <c r="K29" s="254">
        <f>SUM(K20,K24:K28)</f>
        <v>1</v>
      </c>
      <c r="L29" s="254">
        <f>SUM(L20,L24:L28)</f>
        <v>0.99999999999999989</v>
      </c>
      <c r="M29" s="254">
        <f>SUM(M20,M24:M28)</f>
        <v>1</v>
      </c>
      <c r="N29" s="254">
        <f>SUM(N20,N24:N28)</f>
        <v>1</v>
      </c>
      <c r="O29" s="687"/>
      <c r="P29" s="687"/>
      <c r="Q29" s="687"/>
      <c r="R29" s="687"/>
      <c r="S29" s="687"/>
      <c r="T29" s="687"/>
      <c r="U29" s="687"/>
      <c r="V29" s="687"/>
      <c r="W29" s="687"/>
      <c r="X29" s="687"/>
      <c r="Y29" s="687"/>
      <c r="Z29" s="687"/>
    </row>
    <row r="30" spans="1:26" s="677" customFormat="1" ht="9" customHeight="1" x14ac:dyDescent="0.2">
      <c r="A30" s="788"/>
      <c r="B30" s="1129"/>
      <c r="C30" s="1129"/>
      <c r="D30" s="1129"/>
      <c r="E30" s="1129"/>
      <c r="F30" s="1129"/>
      <c r="G30" s="1129"/>
      <c r="I30" s="1130"/>
      <c r="J30" s="1131"/>
      <c r="K30" s="1131"/>
      <c r="L30" s="1131"/>
      <c r="M30" s="1131"/>
      <c r="N30" s="1131"/>
    </row>
    <row r="31" spans="1:26" s="777" customFormat="1" ht="16.5" customHeight="1" x14ac:dyDescent="0.2">
      <c r="A31" s="1127" t="s">
        <v>1011</v>
      </c>
      <c r="B31" s="1124"/>
      <c r="C31" s="1124"/>
      <c r="D31" s="1124"/>
      <c r="E31" s="1124"/>
      <c r="F31" s="1124"/>
      <c r="G31" s="1124"/>
      <c r="H31" s="677"/>
      <c r="I31" s="1128"/>
      <c r="J31" s="1126"/>
      <c r="K31" s="1126"/>
      <c r="L31" s="1126"/>
      <c r="M31" s="1126"/>
      <c r="N31" s="1126"/>
    </row>
    <row r="32" spans="1:26" s="22" customFormat="1" ht="16.899999999999999" customHeight="1" x14ac:dyDescent="0.2">
      <c r="A32" s="54" t="s">
        <v>241</v>
      </c>
      <c r="B32" s="26" t="str">
        <f>B8</f>
        <v>Fiscal year ended (after analysis adjustments)</v>
      </c>
      <c r="C32" s="269"/>
      <c r="D32" s="269"/>
      <c r="E32" s="269"/>
      <c r="F32" s="269"/>
      <c r="G32" s="269"/>
      <c r="H32" s="193"/>
      <c r="I32" s="247" t="str">
        <f>I8</f>
        <v>Fiscal year ended (after analysis adjustments)</v>
      </c>
      <c r="J32" s="269"/>
      <c r="K32" s="269"/>
      <c r="L32" s="269"/>
      <c r="M32" s="269"/>
      <c r="N32" s="269"/>
      <c r="O32" s="677"/>
      <c r="P32" s="677"/>
      <c r="Q32" s="677"/>
      <c r="R32" s="677"/>
      <c r="S32" s="677"/>
      <c r="T32" s="677"/>
      <c r="U32" s="677"/>
      <c r="V32" s="677"/>
      <c r="W32" s="677"/>
      <c r="X32" s="677"/>
      <c r="Y32" s="677"/>
      <c r="Z32" s="677"/>
    </row>
    <row r="33" spans="1:26" s="65" customFormat="1" ht="16.899999999999999" customHeight="1" x14ac:dyDescent="0.2">
      <c r="A33" s="1162"/>
      <c r="B33" s="62">
        <f>B9</f>
        <v>2010</v>
      </c>
      <c r="C33" s="62">
        <f>C9</f>
        <v>2011</v>
      </c>
      <c r="D33" s="62">
        <f>D9</f>
        <v>2012</v>
      </c>
      <c r="E33" s="62">
        <f>E9</f>
        <v>2013</v>
      </c>
      <c r="F33" s="62">
        <f>F9</f>
        <v>2014</v>
      </c>
      <c r="G33" s="62">
        <f>G9</f>
        <v>2015</v>
      </c>
      <c r="H33" s="193"/>
      <c r="I33" s="69">
        <f>I9</f>
        <v>2010</v>
      </c>
      <c r="J33" s="69">
        <f>J9</f>
        <v>2011</v>
      </c>
      <c r="K33" s="69">
        <f>K9</f>
        <v>2012</v>
      </c>
      <c r="L33" s="69">
        <f>L9</f>
        <v>2013</v>
      </c>
      <c r="M33" s="69">
        <f>M9</f>
        <v>2014</v>
      </c>
      <c r="N33" s="69">
        <f>N9</f>
        <v>2015</v>
      </c>
      <c r="O33" s="1162"/>
      <c r="P33" s="1162"/>
      <c r="Q33" s="1162"/>
      <c r="R33" s="1162"/>
      <c r="S33" s="1162"/>
      <c r="T33" s="1162"/>
      <c r="U33" s="1162"/>
      <c r="V33" s="1162"/>
      <c r="W33" s="1162"/>
      <c r="X33" s="1162"/>
      <c r="Y33" s="1162"/>
      <c r="Z33" s="1162"/>
    </row>
    <row r="34" spans="1:26" s="18" customFormat="1" ht="16.899999999999999" customHeight="1" x14ac:dyDescent="0.2">
      <c r="A34" s="5" t="s">
        <v>10</v>
      </c>
      <c r="B34" s="788"/>
      <c r="C34" s="1235"/>
      <c r="D34" s="1235"/>
      <c r="E34" s="1235"/>
      <c r="F34" s="1235"/>
      <c r="G34" s="1235"/>
      <c r="H34" s="677"/>
      <c r="I34" s="1235"/>
      <c r="J34" s="1233"/>
      <c r="K34" s="1233"/>
      <c r="L34" s="1233"/>
      <c r="M34" s="1233"/>
      <c r="N34" s="1233"/>
      <c r="O34" s="1234"/>
      <c r="P34" s="1234"/>
      <c r="Q34" s="1234"/>
      <c r="R34" s="1234"/>
      <c r="S34" s="1234"/>
      <c r="T34" s="1234"/>
      <c r="U34" s="1234"/>
      <c r="V34" s="1234"/>
      <c r="W34" s="1234"/>
      <c r="X34" s="1234"/>
      <c r="Y34" s="1234"/>
      <c r="Z34" s="1234"/>
    </row>
    <row r="35" spans="1:26" s="18" customFormat="1" ht="16.899999999999999" customHeight="1" x14ac:dyDescent="0.2">
      <c r="A35" s="5" t="s">
        <v>11</v>
      </c>
      <c r="B35" s="677"/>
      <c r="C35" s="1234"/>
      <c r="D35" s="1234"/>
      <c r="E35" s="1234"/>
      <c r="F35" s="1234"/>
      <c r="G35" s="1234"/>
      <c r="H35" s="677"/>
      <c r="I35" s="1072"/>
      <c r="J35" s="793"/>
      <c r="K35" s="793"/>
      <c r="L35" s="793"/>
      <c r="M35" s="793"/>
      <c r="N35" s="793"/>
      <c r="O35" s="1234"/>
      <c r="P35" s="1234"/>
      <c r="Q35" s="1234"/>
      <c r="R35" s="1234"/>
      <c r="S35" s="1234"/>
      <c r="T35" s="1234"/>
      <c r="U35" s="1234"/>
      <c r="V35" s="1234"/>
      <c r="W35" s="1234"/>
      <c r="X35" s="1234"/>
      <c r="Y35" s="1234"/>
      <c r="Z35" s="1234"/>
    </row>
    <row r="36" spans="1:26" s="10" customFormat="1" ht="16.899999999999999" customHeight="1" x14ac:dyDescent="0.2">
      <c r="A36" s="32" t="str">
        <f>'BS Analysis Adjustments'!A27</f>
        <v>AP</v>
      </c>
      <c r="B36" s="231">
        <v>846</v>
      </c>
      <c r="C36" s="27">
        <f>'BS Analysis Adjustments'!AZ27</f>
        <v>917</v>
      </c>
      <c r="D36" s="27">
        <f>'BS Analysis Adjustments'!BA27</f>
        <v>1011</v>
      </c>
      <c r="E36" s="27">
        <f>'BS Analysis Adjustments'!BB27</f>
        <v>1263</v>
      </c>
      <c r="F36" s="27">
        <f>'BS Analysis Adjustments'!BC27</f>
        <v>1328</v>
      </c>
      <c r="G36" s="27">
        <f>'BS Analysis Adjustments'!BD27</f>
        <v>1324</v>
      </c>
      <c r="H36" s="193"/>
      <c r="I36" s="70">
        <f t="shared" ref="I36:N43" si="11">B36/B$64</f>
        <v>0.11337443044760118</v>
      </c>
      <c r="J36" s="70">
        <f t="shared" si="11"/>
        <v>8.5025498377375983E-2</v>
      </c>
      <c r="K36" s="70">
        <f t="shared" si="11"/>
        <v>8.9786856127886325E-2</v>
      </c>
      <c r="L36" s="70">
        <f t="shared" si="11"/>
        <v>0.10298434442270059</v>
      </c>
      <c r="M36" s="70">
        <f t="shared" si="11"/>
        <v>0.10088885512421181</v>
      </c>
      <c r="N36" s="70">
        <f t="shared" si="11"/>
        <v>0.11109246517872126</v>
      </c>
      <c r="O36" s="1288" t="s">
        <v>21</v>
      </c>
      <c r="P36" s="682"/>
      <c r="Q36" s="682"/>
      <c r="R36" s="682"/>
      <c r="S36" s="682"/>
      <c r="T36" s="682"/>
      <c r="U36" s="682"/>
      <c r="V36" s="682"/>
      <c r="W36" s="682"/>
      <c r="X36" s="682"/>
      <c r="Y36" s="682"/>
      <c r="Z36" s="682"/>
    </row>
    <row r="37" spans="1:26" s="10" customFormat="1" ht="16.899999999999999" customHeight="1" x14ac:dyDescent="0.2">
      <c r="A37" s="32" t="str">
        <f>'BS Analysis Adjustments'!A28</f>
        <v>Accrued liabilities</v>
      </c>
      <c r="B37" s="231">
        <v>375</v>
      </c>
      <c r="C37" s="27">
        <f>'BS Analysis Adjustments'!AZ28</f>
        <v>1661</v>
      </c>
      <c r="D37" s="27">
        <f>'BS Analysis Adjustments'!BA28</f>
        <v>1833</v>
      </c>
      <c r="E37" s="27">
        <f>'BS Analysis Adjustments'!BB28</f>
        <v>1845</v>
      </c>
      <c r="F37" s="27">
        <f>'BS Analysis Adjustments'!BC28</f>
        <v>2225</v>
      </c>
      <c r="G37" s="27">
        <f>'BS Analysis Adjustments'!BD28</f>
        <v>2107</v>
      </c>
      <c r="H37" s="193"/>
      <c r="I37" s="70">
        <f t="shared" si="11"/>
        <v>5.0254623425355131E-2</v>
      </c>
      <c r="J37" s="70">
        <f t="shared" si="11"/>
        <v>0.15401019935095039</v>
      </c>
      <c r="K37" s="70">
        <f t="shared" si="11"/>
        <v>0.16278863232682061</v>
      </c>
      <c r="L37" s="70">
        <f t="shared" si="11"/>
        <v>0.15044031311154599</v>
      </c>
      <c r="M37" s="70">
        <f t="shared" si="11"/>
        <v>0.16903441464711691</v>
      </c>
      <c r="N37" s="70">
        <f t="shared" si="11"/>
        <v>0.17679140795435475</v>
      </c>
      <c r="O37" s="1289"/>
      <c r="P37" s="682"/>
      <c r="Q37" s="682"/>
      <c r="R37" s="682"/>
      <c r="S37" s="682"/>
      <c r="T37" s="682"/>
      <c r="U37" s="682"/>
      <c r="V37" s="682"/>
      <c r="W37" s="682"/>
      <c r="X37" s="682"/>
      <c r="Y37" s="682"/>
      <c r="Z37" s="682"/>
    </row>
    <row r="38" spans="1:26" s="10" customFormat="1" ht="16.899999999999999" customHeight="1" x14ac:dyDescent="0.2">
      <c r="A38" s="32" t="str">
        <f>'BS Analysis Adjustments'!A29</f>
        <v>Income taxes payable</v>
      </c>
      <c r="B38" s="231">
        <v>0</v>
      </c>
      <c r="C38" s="27">
        <f>'BS Analysis Adjustments'!AZ29</f>
        <v>0</v>
      </c>
      <c r="D38" s="27">
        <f>'BS Analysis Adjustments'!BA29</f>
        <v>0</v>
      </c>
      <c r="E38" s="27">
        <f>'BS Analysis Adjustments'!BB29</f>
        <v>0</v>
      </c>
      <c r="F38" s="27">
        <f>'BS Analysis Adjustments'!BC29</f>
        <v>0</v>
      </c>
      <c r="G38" s="27">
        <f>'BS Analysis Adjustments'!BD29</f>
        <v>0</v>
      </c>
      <c r="H38" s="193"/>
      <c r="I38" s="70">
        <f t="shared" si="11"/>
        <v>0</v>
      </c>
      <c r="J38" s="70">
        <f t="shared" si="11"/>
        <v>0</v>
      </c>
      <c r="K38" s="70">
        <f t="shared" si="11"/>
        <v>0</v>
      </c>
      <c r="L38" s="70">
        <f t="shared" si="11"/>
        <v>0</v>
      </c>
      <c r="M38" s="70">
        <f t="shared" si="11"/>
        <v>0</v>
      </c>
      <c r="N38" s="70">
        <f t="shared" si="11"/>
        <v>0</v>
      </c>
      <c r="O38" s="1289"/>
      <c r="P38" s="682"/>
      <c r="Q38" s="682"/>
      <c r="R38" s="682"/>
      <c r="S38" s="682"/>
      <c r="T38" s="682"/>
      <c r="U38" s="682"/>
      <c r="V38" s="682"/>
      <c r="W38" s="682"/>
      <c r="X38" s="682"/>
      <c r="Y38" s="682"/>
      <c r="Z38" s="682"/>
    </row>
    <row r="39" spans="1:26" s="10" customFormat="1" ht="16.899999999999999" customHeight="1" x14ac:dyDescent="0.2">
      <c r="A39" s="32" t="str">
        <f>'BS Analysis Adjustments'!A30</f>
        <v>DIT liabilities–current</v>
      </c>
      <c r="B39" s="231">
        <v>0</v>
      </c>
      <c r="C39" s="27">
        <f>'BS Analysis Adjustments'!AZ30</f>
        <v>0</v>
      </c>
      <c r="D39" s="27">
        <f>'BS Analysis Adjustments'!BA30</f>
        <v>0</v>
      </c>
      <c r="E39" s="27">
        <f>'BS Analysis Adjustments'!BB30</f>
        <v>0</v>
      </c>
      <c r="F39" s="27">
        <f>'BS Analysis Adjustments'!BC30</f>
        <v>0</v>
      </c>
      <c r="G39" s="27">
        <f>'BS Analysis Adjustments'!BD30</f>
        <v>0</v>
      </c>
      <c r="H39" s="193"/>
      <c r="I39" s="70">
        <f t="shared" si="11"/>
        <v>0</v>
      </c>
      <c r="J39" s="70">
        <f t="shared" si="11"/>
        <v>0</v>
      </c>
      <c r="K39" s="70">
        <f t="shared" si="11"/>
        <v>0</v>
      </c>
      <c r="L39" s="70">
        <f t="shared" si="11"/>
        <v>0</v>
      </c>
      <c r="M39" s="70">
        <f t="shared" si="11"/>
        <v>0</v>
      </c>
      <c r="N39" s="70">
        <f t="shared" si="11"/>
        <v>0</v>
      </c>
      <c r="O39" s="1289"/>
      <c r="P39" s="682"/>
      <c r="Q39" s="682"/>
      <c r="R39" s="682"/>
      <c r="S39" s="682"/>
      <c r="T39" s="682"/>
      <c r="U39" s="682"/>
      <c r="V39" s="682"/>
      <c r="W39" s="682"/>
      <c r="X39" s="682"/>
      <c r="Y39" s="682"/>
      <c r="Z39" s="682"/>
    </row>
    <row r="40" spans="1:26" s="10" customFormat="1" ht="16.899999999999999" customHeight="1" x14ac:dyDescent="0.2">
      <c r="A40" s="32" t="str">
        <f>'BS Analysis Adjustments'!A31</f>
        <v>Capital lease obligation–current portion</v>
      </c>
      <c r="B40" s="231">
        <v>0</v>
      </c>
      <c r="C40" s="27">
        <f>'BS Analysis Adjustments'!AZ31</f>
        <v>85</v>
      </c>
      <c r="D40" s="27">
        <f>'BS Analysis Adjustments'!BA31</f>
        <v>97</v>
      </c>
      <c r="E40" s="27">
        <f>'BS Analysis Adjustments'!BB31</f>
        <v>108</v>
      </c>
      <c r="F40" s="27">
        <f>'BS Analysis Adjustments'!BC31</f>
        <v>130</v>
      </c>
      <c r="G40" s="27">
        <f>'BS Analysis Adjustments'!BD31</f>
        <v>156</v>
      </c>
      <c r="H40" s="193"/>
      <c r="I40" s="70">
        <f t="shared" si="11"/>
        <v>0</v>
      </c>
      <c r="J40" s="70">
        <f t="shared" si="11"/>
        <v>7.8813166434863243E-3</v>
      </c>
      <c r="K40" s="70">
        <f t="shared" si="11"/>
        <v>8.6145648312611015E-3</v>
      </c>
      <c r="L40" s="70">
        <f t="shared" si="11"/>
        <v>8.8062622309197647E-3</v>
      </c>
      <c r="M40" s="70">
        <f t="shared" si="11"/>
        <v>9.8761680467978428E-3</v>
      </c>
      <c r="N40" s="70">
        <f t="shared" si="11"/>
        <v>1.3089444537674107E-2</v>
      </c>
      <c r="O40" s="1289"/>
      <c r="P40" s="682"/>
      <c r="Q40" s="682"/>
      <c r="R40" s="682"/>
      <c r="S40" s="682"/>
      <c r="T40" s="682"/>
      <c r="U40" s="682"/>
      <c r="V40" s="682"/>
      <c r="W40" s="682"/>
      <c r="X40" s="682"/>
      <c r="Y40" s="682"/>
      <c r="Z40" s="682"/>
    </row>
    <row r="41" spans="1:26" s="10" customFormat="1" ht="16.899999999999999" customHeight="1" x14ac:dyDescent="0.2">
      <c r="A41" s="32" t="str">
        <f>'BS Analysis Adjustments'!A32</f>
        <v>Bonds–current portion</v>
      </c>
      <c r="B41" s="231">
        <v>0</v>
      </c>
      <c r="C41" s="27">
        <f>'BS Analysis Adjustments'!AZ32</f>
        <v>0</v>
      </c>
      <c r="D41" s="27">
        <f>'BS Analysis Adjustments'!BA32</f>
        <v>0</v>
      </c>
      <c r="E41" s="27">
        <f>'BS Analysis Adjustments'!BB32</f>
        <v>0</v>
      </c>
      <c r="F41" s="27">
        <f>'BS Analysis Adjustments'!BC32</f>
        <v>0</v>
      </c>
      <c r="G41" s="27">
        <f>'BS Analysis Adjustments'!BD32</f>
        <v>0</v>
      </c>
      <c r="H41" s="193"/>
      <c r="I41" s="70">
        <f t="shared" si="11"/>
        <v>0</v>
      </c>
      <c r="J41" s="70">
        <f t="shared" si="11"/>
        <v>0</v>
      </c>
      <c r="K41" s="70">
        <f t="shared" si="11"/>
        <v>0</v>
      </c>
      <c r="L41" s="70">
        <f t="shared" si="11"/>
        <v>0</v>
      </c>
      <c r="M41" s="70">
        <f t="shared" si="11"/>
        <v>0</v>
      </c>
      <c r="N41" s="70">
        <f t="shared" si="11"/>
        <v>0</v>
      </c>
      <c r="O41" s="1289"/>
      <c r="P41" s="682"/>
      <c r="Q41" s="682"/>
      <c r="R41" s="682"/>
      <c r="S41" s="682"/>
      <c r="T41" s="682"/>
      <c r="U41" s="682"/>
      <c r="V41" s="682"/>
      <c r="W41" s="682"/>
      <c r="X41" s="682"/>
      <c r="Y41" s="682"/>
      <c r="Z41" s="682"/>
    </row>
    <row r="42" spans="1:26" s="10" customFormat="1" ht="16.899999999999999" customHeight="1" x14ac:dyDescent="0.2">
      <c r="A42" s="32" t="str">
        <f>'BS Analysis Adjustments'!A33</f>
        <v>Notes and loans payable–current</v>
      </c>
      <c r="B42" s="231">
        <v>6</v>
      </c>
      <c r="C42" s="27">
        <f>'BS Analysis Adjustments'!AZ33</f>
        <v>506</v>
      </c>
      <c r="D42" s="27">
        <f>'BS Analysis Adjustments'!BA33</f>
        <v>7</v>
      </c>
      <c r="E42" s="27">
        <f>'BS Analysis Adjustments'!BB33</f>
        <v>7</v>
      </c>
      <c r="F42" s="27">
        <f>'BS Analysis Adjustments'!BC33</f>
        <v>8</v>
      </c>
      <c r="G42" s="27">
        <f>'BS Analysis Adjustments'!BD33</f>
        <v>10</v>
      </c>
      <c r="H42" s="193"/>
      <c r="I42" s="70">
        <f t="shared" si="11"/>
        <v>8.0407397480568212E-4</v>
      </c>
      <c r="J42" s="70">
        <f t="shared" si="11"/>
        <v>4.6917014371812706E-2</v>
      </c>
      <c r="K42" s="70">
        <f t="shared" si="11"/>
        <v>6.2166962699822378E-4</v>
      </c>
      <c r="L42" s="70">
        <f t="shared" si="11"/>
        <v>5.7077625570776253E-4</v>
      </c>
      <c r="M42" s="70">
        <f t="shared" si="11"/>
        <v>6.0776418749525186E-4</v>
      </c>
      <c r="N42" s="70">
        <f t="shared" si="11"/>
        <v>8.390669575432119E-4</v>
      </c>
      <c r="O42" s="1289"/>
      <c r="P42" s="682"/>
      <c r="Q42" s="682"/>
      <c r="R42" s="682"/>
      <c r="S42" s="682"/>
      <c r="T42" s="682"/>
      <c r="U42" s="682"/>
      <c r="V42" s="682"/>
      <c r="W42" s="682"/>
      <c r="X42" s="682"/>
      <c r="Y42" s="682"/>
      <c r="Z42" s="682"/>
    </row>
    <row r="43" spans="1:26" s="11" customFormat="1" ht="16.899999999999999" customHeight="1" x14ac:dyDescent="0.2">
      <c r="A43" s="81" t="str">
        <f>'BS Analysis Adjustments'!A34</f>
        <v>Other current liabilities</v>
      </c>
      <c r="B43" s="258">
        <v>652</v>
      </c>
      <c r="C43" s="259">
        <f>'BS Analysis Adjustments'!AZ34</f>
        <v>764</v>
      </c>
      <c r="D43" s="259">
        <f>'BS Analysis Adjustments'!BA34</f>
        <v>804</v>
      </c>
      <c r="E43" s="259">
        <f>'BS Analysis Adjustments'!BB34</f>
        <v>876</v>
      </c>
      <c r="F43" s="259">
        <f>'BS Analysis Adjustments'!BC34</f>
        <v>1048</v>
      </c>
      <c r="G43" s="259">
        <f>'BS Analysis Adjustments'!BD34</f>
        <v>1161</v>
      </c>
      <c r="H43" s="193"/>
      <c r="I43" s="260">
        <f t="shared" si="11"/>
        <v>8.7376038595550792E-2</v>
      </c>
      <c r="J43" s="260">
        <f t="shared" si="11"/>
        <v>7.0839128419100603E-2</v>
      </c>
      <c r="K43" s="260">
        <f t="shared" si="11"/>
        <v>7.1403197158081702E-2</v>
      </c>
      <c r="L43" s="260">
        <f t="shared" si="11"/>
        <v>7.1428571428571425E-2</v>
      </c>
      <c r="M43" s="260">
        <f>F43/F$64</f>
        <v>7.9617108561877994E-2</v>
      </c>
      <c r="N43" s="260">
        <f t="shared" si="11"/>
        <v>9.7415673770766903E-2</v>
      </c>
      <c r="O43" s="1292"/>
      <c r="P43" s="1164"/>
      <c r="Q43" s="1164"/>
      <c r="R43" s="1164"/>
      <c r="S43" s="1164"/>
      <c r="T43" s="1164"/>
      <c r="U43" s="1164"/>
      <c r="V43" s="1164"/>
      <c r="W43" s="1164"/>
      <c r="X43" s="1164"/>
      <c r="Y43" s="1164"/>
      <c r="Z43" s="1164"/>
    </row>
    <row r="44" spans="1:26" s="48" customFormat="1" ht="16.899999999999999" customHeight="1" x14ac:dyDescent="0.2">
      <c r="A44" s="255" t="str">
        <f>'BS Analysis Adjustments'!A35</f>
        <v>Total current liabilities</v>
      </c>
      <c r="B44" s="250">
        <f t="shared" ref="B44:G44" si="12">SUM(B36:B43)</f>
        <v>1879</v>
      </c>
      <c r="C44" s="250">
        <f t="shared" si="12"/>
        <v>3933</v>
      </c>
      <c r="D44" s="250">
        <f t="shared" si="12"/>
        <v>3752</v>
      </c>
      <c r="E44" s="250">
        <f t="shared" si="12"/>
        <v>4099</v>
      </c>
      <c r="F44" s="250">
        <f t="shared" si="12"/>
        <v>4739</v>
      </c>
      <c r="G44" s="250">
        <f t="shared" si="12"/>
        <v>4758</v>
      </c>
      <c r="H44" s="193"/>
      <c r="I44" s="253">
        <f t="shared" ref="I44:N44" si="13">SUM(I36:I43)</f>
        <v>0.25180916644331275</v>
      </c>
      <c r="J44" s="253">
        <f t="shared" si="13"/>
        <v>0.36467315716272602</v>
      </c>
      <c r="K44" s="253">
        <f t="shared" si="13"/>
        <v>0.33321492007104797</v>
      </c>
      <c r="L44" s="253">
        <f t="shared" si="13"/>
        <v>0.33423026744944551</v>
      </c>
      <c r="M44" s="253">
        <f t="shared" si="13"/>
        <v>0.36002431056749984</v>
      </c>
      <c r="N44" s="253">
        <f t="shared" si="13"/>
        <v>0.39922805839906028</v>
      </c>
      <c r="O44" s="717"/>
      <c r="P44" s="717"/>
      <c r="Q44" s="717"/>
      <c r="R44" s="717"/>
      <c r="S44" s="717"/>
      <c r="T44" s="717"/>
      <c r="U44" s="717"/>
      <c r="V44" s="717"/>
      <c r="W44" s="717"/>
      <c r="X44" s="717"/>
      <c r="Y44" s="717"/>
      <c r="Z44" s="717"/>
    </row>
    <row r="45" spans="1:26" s="10" customFormat="1" ht="16.899999999999999" customHeight="1" x14ac:dyDescent="0.2">
      <c r="A45" s="32" t="str">
        <f>'BS Analysis Adjustments'!A36</f>
        <v>Notes and loans payable–noncurrent</v>
      </c>
      <c r="B45" s="231">
        <v>2775</v>
      </c>
      <c r="C45" s="27">
        <f>'BS Analysis Adjustments'!AZ36</f>
        <v>3141</v>
      </c>
      <c r="D45" s="27">
        <f>'BS Analysis Adjustments'!BA36</f>
        <v>3124</v>
      </c>
      <c r="E45" s="27">
        <f>'BS Analysis Adjustments'!BB36</f>
        <v>3106</v>
      </c>
      <c r="F45" s="27">
        <f>'BS Analysis Adjustments'!BC36</f>
        <v>3123</v>
      </c>
      <c r="G45" s="27">
        <f>'BS Analysis Adjustments'!BD36</f>
        <v>2795</v>
      </c>
      <c r="H45" s="193"/>
      <c r="I45" s="70">
        <f t="shared" ref="I45:N49" si="14">B45/B$64</f>
        <v>0.371884213347628</v>
      </c>
      <c r="J45" s="70">
        <f t="shared" si="14"/>
        <v>0.29123783031988876</v>
      </c>
      <c r="K45" s="70">
        <f t="shared" si="14"/>
        <v>0.27744227353463585</v>
      </c>
      <c r="L45" s="70">
        <f t="shared" si="14"/>
        <v>0.25326157860404436</v>
      </c>
      <c r="M45" s="70">
        <f t="shared" si="14"/>
        <v>0.23725594469345893</v>
      </c>
      <c r="N45" s="70">
        <f t="shared" si="14"/>
        <v>0.23451921463332773</v>
      </c>
      <c r="O45" s="1288" t="s">
        <v>1078</v>
      </c>
      <c r="P45" s="682"/>
      <c r="Q45" s="682"/>
      <c r="R45" s="682"/>
      <c r="S45" s="682"/>
      <c r="T45" s="682"/>
      <c r="U45" s="682"/>
      <c r="V45" s="682"/>
      <c r="W45" s="682"/>
      <c r="X45" s="682"/>
      <c r="Y45" s="682"/>
      <c r="Z45" s="682"/>
    </row>
    <row r="46" spans="1:26" s="10" customFormat="1" ht="16.899999999999999" customHeight="1" x14ac:dyDescent="0.2">
      <c r="A46" s="32" t="str">
        <f>'BS Analysis Adjustments'!A37</f>
        <v xml:space="preserve">Capital lease obligation–noncurrent </v>
      </c>
      <c r="B46" s="231">
        <v>0</v>
      </c>
      <c r="C46" s="27">
        <f>'BS Analysis Adjustments'!AZ37</f>
        <v>766</v>
      </c>
      <c r="D46" s="27">
        <f>'BS Analysis Adjustments'!BA37</f>
        <v>1173</v>
      </c>
      <c r="E46" s="27">
        <f>'BS Analysis Adjustments'!BB37</f>
        <v>1457</v>
      </c>
      <c r="F46" s="27">
        <f>'BS Analysis Adjustments'!BC37</f>
        <v>1696</v>
      </c>
      <c r="G46" s="27">
        <f>'BS Analysis Adjustments'!BD37</f>
        <v>2054</v>
      </c>
      <c r="H46" s="193"/>
      <c r="I46" s="70">
        <f t="shared" si="14"/>
        <v>0</v>
      </c>
      <c r="J46" s="70">
        <f t="shared" si="14"/>
        <v>7.1024571163653225E-2</v>
      </c>
      <c r="K46" s="70">
        <f t="shared" si="14"/>
        <v>0.10417406749555951</v>
      </c>
      <c r="L46" s="70">
        <f t="shared" si="14"/>
        <v>0.11880300065231572</v>
      </c>
      <c r="M46" s="70">
        <f t="shared" si="14"/>
        <v>0.12884600774899338</v>
      </c>
      <c r="N46" s="70">
        <f t="shared" si="14"/>
        <v>0.17234435307937573</v>
      </c>
      <c r="O46" s="1289"/>
      <c r="P46" s="682"/>
      <c r="Q46" s="682"/>
      <c r="R46" s="682"/>
      <c r="S46" s="682"/>
      <c r="T46" s="682"/>
      <c r="U46" s="682"/>
      <c r="V46" s="682"/>
      <c r="W46" s="682"/>
      <c r="X46" s="682"/>
      <c r="Y46" s="682"/>
      <c r="Z46" s="682"/>
    </row>
    <row r="47" spans="1:26" s="10" customFormat="1" ht="16.899999999999999" customHeight="1" x14ac:dyDescent="0.2">
      <c r="A47" s="32" t="str">
        <f>'BS Analysis Adjustments'!A38</f>
        <v>Bonds, net discount [or, plus premium]</v>
      </c>
      <c r="B47" s="231">
        <v>0</v>
      </c>
      <c r="C47" s="27">
        <f>'BS Analysis Adjustments'!AZ38</f>
        <v>0</v>
      </c>
      <c r="D47" s="27">
        <f>'BS Analysis Adjustments'!BA38</f>
        <v>0</v>
      </c>
      <c r="E47" s="27">
        <f>'BS Analysis Adjustments'!BB38</f>
        <v>0</v>
      </c>
      <c r="F47" s="27">
        <f>'BS Analysis Adjustments'!BC38</f>
        <v>0</v>
      </c>
      <c r="G47" s="27">
        <f>'BS Analysis Adjustments'!BD38</f>
        <v>0</v>
      </c>
      <c r="H47" s="193"/>
      <c r="I47" s="70">
        <f t="shared" si="14"/>
        <v>0</v>
      </c>
      <c r="J47" s="70">
        <f t="shared" si="14"/>
        <v>0</v>
      </c>
      <c r="K47" s="70">
        <f t="shared" si="14"/>
        <v>0</v>
      </c>
      <c r="L47" s="70">
        <f t="shared" si="14"/>
        <v>0</v>
      </c>
      <c r="M47" s="70">
        <f t="shared" si="14"/>
        <v>0</v>
      </c>
      <c r="N47" s="70">
        <f t="shared" si="14"/>
        <v>0</v>
      </c>
      <c r="O47" s="1289"/>
      <c r="P47" s="682"/>
      <c r="Q47" s="682"/>
      <c r="R47" s="682"/>
      <c r="S47" s="682"/>
      <c r="T47" s="682"/>
      <c r="U47" s="682"/>
      <c r="V47" s="682"/>
      <c r="W47" s="682"/>
      <c r="X47" s="682"/>
      <c r="Y47" s="682"/>
      <c r="Z47" s="682"/>
    </row>
    <row r="48" spans="1:26" s="10" customFormat="1" ht="16.899999999999999" customHeight="1" x14ac:dyDescent="0.2">
      <c r="A48" s="32" t="str">
        <f>'BS Analysis Adjustments'!A39</f>
        <v>DIT liabilities–noncurrent</v>
      </c>
      <c r="B48" s="231">
        <v>495</v>
      </c>
      <c r="C48" s="27">
        <f>'BS Analysis Adjustments'!AZ39</f>
        <v>500</v>
      </c>
      <c r="D48" s="27">
        <f>'BS Analysis Adjustments'!BA39</f>
        <v>485</v>
      </c>
      <c r="E48" s="27">
        <f>'BS Analysis Adjustments'!BB39</f>
        <v>498</v>
      </c>
      <c r="F48" s="27">
        <f>'BS Analysis Adjustments'!BC39</f>
        <v>510</v>
      </c>
      <c r="G48" s="27">
        <f>'BS Analysis Adjustments'!BD39</f>
        <v>540</v>
      </c>
      <c r="H48" s="193"/>
      <c r="I48" s="70">
        <f t="shared" si="14"/>
        <v>6.633610292146877E-2</v>
      </c>
      <c r="J48" s="70">
        <f t="shared" si="14"/>
        <v>4.6360686138154847E-2</v>
      </c>
      <c r="K48" s="70">
        <f t="shared" si="14"/>
        <v>4.3072824156305506E-2</v>
      </c>
      <c r="L48" s="70">
        <f t="shared" si="14"/>
        <v>4.0606653620352248E-2</v>
      </c>
      <c r="M48" s="70">
        <f t="shared" si="14"/>
        <v>3.8744966952822306E-2</v>
      </c>
      <c r="N48" s="70">
        <f t="shared" si="14"/>
        <v>4.5309615707333446E-2</v>
      </c>
      <c r="O48" s="1289"/>
      <c r="P48" s="682"/>
      <c r="Q48" s="682"/>
      <c r="R48" s="682"/>
      <c r="S48" s="682"/>
      <c r="T48" s="682"/>
      <c r="U48" s="682"/>
      <c r="V48" s="682"/>
      <c r="W48" s="682"/>
      <c r="X48" s="682"/>
      <c r="Y48" s="682"/>
      <c r="Z48" s="682"/>
    </row>
    <row r="49" spans="1:26" ht="16.899999999999999" customHeight="1" x14ac:dyDescent="0.2">
      <c r="A49" s="41" t="str">
        <f>'BS Analysis Adjustments'!A40</f>
        <v>Other noncurrent liabilities</v>
      </c>
      <c r="B49" s="236">
        <v>292</v>
      </c>
      <c r="C49" s="28">
        <f>'BS Analysis Adjustments'!AZ40</f>
        <v>489</v>
      </c>
      <c r="D49" s="28">
        <f>'BS Analysis Adjustments'!BA40</f>
        <v>813</v>
      </c>
      <c r="E49" s="28">
        <f>'BS Analysis Adjustments'!BB40</f>
        <v>1024</v>
      </c>
      <c r="F49" s="28">
        <f>'BS Analysis Adjustments'!BC40</f>
        <v>655</v>
      </c>
      <c r="G49" s="28">
        <f>'BS Analysis Adjustments'!BD40</f>
        <v>900</v>
      </c>
      <c r="I49" s="261">
        <f t="shared" si="14"/>
        <v>3.9131600107209862E-2</v>
      </c>
      <c r="J49" s="261">
        <f t="shared" si="14"/>
        <v>4.534075104311544E-2</v>
      </c>
      <c r="K49" s="261">
        <f t="shared" si="14"/>
        <v>7.2202486678507996E-2</v>
      </c>
      <c r="L49" s="261">
        <f t="shared" si="14"/>
        <v>8.3496412263535547E-2</v>
      </c>
      <c r="M49" s="261">
        <f t="shared" si="14"/>
        <v>4.9760692851173745E-2</v>
      </c>
      <c r="N49" s="261">
        <f t="shared" si="14"/>
        <v>7.551602617888907E-2</v>
      </c>
      <c r="O49" s="1289"/>
    </row>
    <row r="50" spans="1:26" s="14" customFormat="1" ht="16.899999999999999" customHeight="1" x14ac:dyDescent="0.2">
      <c r="A50" s="73" t="str">
        <f>'BS Analysis Adjustments'!A41</f>
        <v>Total noncurrent liabilities</v>
      </c>
      <c r="B50" s="73">
        <f t="shared" ref="B50:G50" si="15">SUM(B45:B49)</f>
        <v>3562</v>
      </c>
      <c r="C50" s="73">
        <f t="shared" si="15"/>
        <v>4896</v>
      </c>
      <c r="D50" s="73">
        <f t="shared" si="15"/>
        <v>5595</v>
      </c>
      <c r="E50" s="73">
        <f t="shared" si="15"/>
        <v>6085</v>
      </c>
      <c r="F50" s="73">
        <f t="shared" si="15"/>
        <v>5984</v>
      </c>
      <c r="G50" s="73">
        <f t="shared" si="15"/>
        <v>6289</v>
      </c>
      <c r="H50" s="193"/>
      <c r="I50" s="74">
        <f t="shared" ref="I50:N50" si="16">SUM(I45:I49)</f>
        <v>0.47735191637630658</v>
      </c>
      <c r="J50" s="74">
        <f t="shared" si="16"/>
        <v>0.45396383866481227</v>
      </c>
      <c r="K50" s="74">
        <f t="shared" si="16"/>
        <v>0.49689165186500889</v>
      </c>
      <c r="L50" s="74">
        <f t="shared" si="16"/>
        <v>0.49616764514024786</v>
      </c>
      <c r="M50" s="74">
        <f t="shared" si="16"/>
        <v>0.45460761224644836</v>
      </c>
      <c r="N50" s="74">
        <f t="shared" si="16"/>
        <v>0.52768920959892596</v>
      </c>
      <c r="O50" s="1292"/>
      <c r="P50" s="686"/>
      <c r="Q50" s="686"/>
      <c r="R50" s="686"/>
      <c r="S50" s="686"/>
      <c r="T50" s="686"/>
      <c r="U50" s="686"/>
      <c r="V50" s="686"/>
      <c r="W50" s="686"/>
      <c r="X50" s="686"/>
      <c r="Y50" s="686"/>
      <c r="Z50" s="686"/>
    </row>
    <row r="51" spans="1:26" s="256" customFormat="1" ht="16.899999999999999" customHeight="1" x14ac:dyDescent="0.2">
      <c r="A51" s="73" t="str">
        <f>'BS Analysis Adjustments'!A42</f>
        <v>Total liabilities</v>
      </c>
      <c r="B51" s="73">
        <f t="shared" ref="B51:G51" si="17">B44+B50</f>
        <v>5441</v>
      </c>
      <c r="C51" s="73">
        <f t="shared" si="17"/>
        <v>8829</v>
      </c>
      <c r="D51" s="73">
        <f t="shared" si="17"/>
        <v>9347</v>
      </c>
      <c r="E51" s="73">
        <f t="shared" si="17"/>
        <v>10184</v>
      </c>
      <c r="F51" s="73">
        <f t="shared" si="17"/>
        <v>10723</v>
      </c>
      <c r="G51" s="73">
        <f t="shared" si="17"/>
        <v>11047</v>
      </c>
      <c r="H51" s="193"/>
      <c r="I51" s="74">
        <f t="shared" ref="I51:N51" si="18">I44+I50</f>
        <v>0.72916108281961933</v>
      </c>
      <c r="J51" s="74">
        <f t="shared" si="18"/>
        <v>0.81863699582753835</v>
      </c>
      <c r="K51" s="74">
        <f t="shared" si="18"/>
        <v>0.83010657193605686</v>
      </c>
      <c r="L51" s="74">
        <f t="shared" si="18"/>
        <v>0.83039791258969342</v>
      </c>
      <c r="M51" s="74">
        <f t="shared" si="18"/>
        <v>0.81463192281394825</v>
      </c>
      <c r="N51" s="74">
        <f t="shared" si="18"/>
        <v>0.92691726799798624</v>
      </c>
      <c r="O51" s="729"/>
      <c r="P51" s="729"/>
      <c r="Q51" s="729"/>
      <c r="R51" s="729"/>
      <c r="S51" s="729"/>
      <c r="T51" s="729"/>
      <c r="U51" s="729"/>
      <c r="V51" s="729"/>
      <c r="W51" s="729"/>
      <c r="X51" s="729"/>
      <c r="Y51" s="729"/>
      <c r="Z51" s="729"/>
    </row>
    <row r="52" spans="1:26" s="1234" customFormat="1" ht="9" customHeight="1" x14ac:dyDescent="0.2">
      <c r="A52" s="1235"/>
      <c r="B52" s="677"/>
      <c r="H52" s="677"/>
      <c r="I52" s="1072"/>
      <c r="J52" s="1072"/>
      <c r="K52" s="1072"/>
      <c r="L52" s="1072"/>
      <c r="M52" s="1072"/>
      <c r="N52" s="1072"/>
    </row>
    <row r="53" spans="1:26" s="18" customFormat="1" ht="16.899999999999999" customHeight="1" x14ac:dyDescent="0.2">
      <c r="A53" s="5" t="s">
        <v>136</v>
      </c>
      <c r="B53" s="677"/>
      <c r="C53" s="1234"/>
      <c r="D53" s="1234"/>
      <c r="E53" s="1234"/>
      <c r="F53" s="1234"/>
      <c r="G53" s="1234"/>
      <c r="H53" s="677"/>
      <c r="I53" s="1072"/>
      <c r="J53" s="1072"/>
      <c r="K53" s="1072"/>
      <c r="L53" s="1072"/>
      <c r="M53" s="1072"/>
      <c r="N53" s="1072"/>
      <c r="O53" s="1234"/>
      <c r="P53" s="1234"/>
      <c r="Q53" s="1234"/>
      <c r="R53" s="1234"/>
      <c r="S53" s="1234"/>
      <c r="T53" s="1234"/>
      <c r="U53" s="1234"/>
      <c r="V53" s="1234"/>
      <c r="W53" s="1234"/>
      <c r="X53" s="1234"/>
      <c r="Y53" s="1234"/>
      <c r="Z53" s="1234"/>
    </row>
    <row r="54" spans="1:26" s="10" customFormat="1" ht="16.899999999999999" customHeight="1" x14ac:dyDescent="0.2">
      <c r="A54" s="32" t="str">
        <f>'BS Analysis Adjustments'!A44</f>
        <v>Preferred (or preference) stock</v>
      </c>
      <c r="B54" s="231">
        <v>0</v>
      </c>
      <c r="C54" s="27">
        <f>'BS Analysis Adjustments'!AZ44</f>
        <v>0</v>
      </c>
      <c r="D54" s="27">
        <f>'BS Analysis Adjustments'!BA44</f>
        <v>0</v>
      </c>
      <c r="E54" s="27">
        <f>'BS Analysis Adjustments'!BB44</f>
        <v>0</v>
      </c>
      <c r="F54" s="27">
        <f>'BS Analysis Adjustments'!BC44</f>
        <v>0</v>
      </c>
      <c r="G54" s="27">
        <f>'BS Analysis Adjustments'!BD44</f>
        <v>0</v>
      </c>
      <c r="H54" s="193"/>
      <c r="I54" s="70">
        <f t="shared" ref="I54:I62" si="19">B54/B$64</f>
        <v>0</v>
      </c>
      <c r="J54" s="70">
        <f t="shared" ref="J54:J62" si="20">C54/C$64</f>
        <v>0</v>
      </c>
      <c r="K54" s="70">
        <f t="shared" ref="K54:K62" si="21">D54/D$64</f>
        <v>0</v>
      </c>
      <c r="L54" s="70">
        <f t="shared" ref="L54:L62" si="22">E54/E$64</f>
        <v>0</v>
      </c>
      <c r="M54" s="70">
        <f t="shared" ref="M54:M62" si="23">F54/F$64</f>
        <v>0</v>
      </c>
      <c r="N54" s="70">
        <f t="shared" ref="N54:N62" si="24">G54/G$64</f>
        <v>0</v>
      </c>
      <c r="O54" s="1293" t="s">
        <v>22</v>
      </c>
      <c r="P54" s="682"/>
      <c r="Q54" s="682"/>
      <c r="R54" s="682"/>
      <c r="S54" s="682"/>
      <c r="T54" s="682"/>
      <c r="U54" s="682"/>
      <c r="V54" s="682"/>
      <c r="W54" s="682"/>
      <c r="X54" s="682"/>
      <c r="Y54" s="682"/>
      <c r="Z54" s="682"/>
    </row>
    <row r="55" spans="1:26" s="10" customFormat="1" ht="16.899999999999999" customHeight="1" x14ac:dyDescent="0.2">
      <c r="A55" s="32" t="str">
        <f>'BS Analysis Adjustments'!A45</f>
        <v>Premium on preferred stock</v>
      </c>
      <c r="B55" s="231">
        <v>0</v>
      </c>
      <c r="C55" s="27">
        <f>'BS Analysis Adjustments'!AZ45</f>
        <v>0</v>
      </c>
      <c r="D55" s="27">
        <f>'BS Analysis Adjustments'!BA45</f>
        <v>0</v>
      </c>
      <c r="E55" s="27">
        <f>'BS Analysis Adjustments'!BB45</f>
        <v>0</v>
      </c>
      <c r="F55" s="27">
        <f>'BS Analysis Adjustments'!BC45</f>
        <v>0</v>
      </c>
      <c r="G55" s="27">
        <f>'BS Analysis Adjustments'!BD45</f>
        <v>0</v>
      </c>
      <c r="H55" s="193"/>
      <c r="I55" s="70">
        <f t="shared" si="19"/>
        <v>0</v>
      </c>
      <c r="J55" s="70">
        <f t="shared" si="20"/>
        <v>0</v>
      </c>
      <c r="K55" s="70">
        <f t="shared" si="21"/>
        <v>0</v>
      </c>
      <c r="L55" s="70">
        <f t="shared" si="22"/>
        <v>0</v>
      </c>
      <c r="M55" s="70">
        <f t="shared" si="23"/>
        <v>0</v>
      </c>
      <c r="N55" s="70">
        <f t="shared" si="24"/>
        <v>0</v>
      </c>
      <c r="O55" s="1289"/>
      <c r="P55" s="682"/>
      <c r="Q55" s="682"/>
      <c r="R55" s="682"/>
      <c r="S55" s="682"/>
      <c r="T55" s="682"/>
      <c r="U55" s="682"/>
      <c r="V55" s="682"/>
      <c r="W55" s="682"/>
      <c r="X55" s="682"/>
      <c r="Y55" s="682"/>
      <c r="Z55" s="682"/>
    </row>
    <row r="56" spans="1:26" s="10" customFormat="1" ht="16.899999999999999" customHeight="1" x14ac:dyDescent="0.2">
      <c r="A56" s="32" t="str">
        <f>'BS Analysis Adjustments'!A46</f>
        <v>Common stock (par or stated value)</v>
      </c>
      <c r="B56" s="231">
        <v>1168</v>
      </c>
      <c r="C56" s="27">
        <f>'BS Analysis Adjustments'!AZ46</f>
        <v>1484</v>
      </c>
      <c r="D56" s="27">
        <f>'BS Analysis Adjustments'!BA46</f>
        <v>1645</v>
      </c>
      <c r="E56" s="27">
        <f>'BS Analysis Adjustments'!BB46</f>
        <v>1827</v>
      </c>
      <c r="F56" s="27">
        <f>'BS Analysis Adjustments'!BC46</f>
        <v>2338</v>
      </c>
      <c r="G56" s="27">
        <f>'BS Analysis Adjustments'!BD46</f>
        <v>2539</v>
      </c>
      <c r="H56" s="193"/>
      <c r="I56" s="70">
        <f t="shared" si="19"/>
        <v>0.15652640042883945</v>
      </c>
      <c r="J56" s="70">
        <f t="shared" si="20"/>
        <v>0.13759851645804358</v>
      </c>
      <c r="K56" s="70">
        <f t="shared" si="21"/>
        <v>0.14609236234458259</v>
      </c>
      <c r="L56" s="70">
        <f t="shared" si="22"/>
        <v>0.14897260273972604</v>
      </c>
      <c r="M56" s="70">
        <f t="shared" si="23"/>
        <v>0.17761908379548735</v>
      </c>
      <c r="N56" s="70">
        <f t="shared" si="24"/>
        <v>0.21303910052022151</v>
      </c>
      <c r="O56" s="1289"/>
      <c r="P56" s="682"/>
      <c r="Q56" s="682"/>
      <c r="R56" s="682"/>
      <c r="S56" s="682"/>
      <c r="T56" s="682"/>
      <c r="U56" s="682"/>
      <c r="V56" s="682"/>
      <c r="W56" s="682"/>
      <c r="X56" s="682"/>
      <c r="Y56" s="682"/>
      <c r="Z56" s="682"/>
    </row>
    <row r="57" spans="1:26" s="10" customFormat="1" ht="16.899999999999999" customHeight="1" x14ac:dyDescent="0.2">
      <c r="A57" s="32" t="str">
        <f>'BS Analysis Adjustments'!A47</f>
        <v>Additional paid-in capital (APIC)</v>
      </c>
      <c r="B57" s="231">
        <v>0</v>
      </c>
      <c r="C57" s="27">
        <f>'BS Analysis Adjustments'!AZ47</f>
        <v>0</v>
      </c>
      <c r="D57" s="27">
        <f>'BS Analysis Adjustments'!BA47</f>
        <v>0</v>
      </c>
      <c r="E57" s="27">
        <f>'BS Analysis Adjustments'!BB47</f>
        <v>0</v>
      </c>
      <c r="F57" s="27">
        <f>'BS Analysis Adjustments'!BC47</f>
        <v>0</v>
      </c>
      <c r="G57" s="27">
        <f>'BS Analysis Adjustments'!BD47</f>
        <v>0</v>
      </c>
      <c r="H57" s="193"/>
      <c r="I57" s="70">
        <f t="shared" si="19"/>
        <v>0</v>
      </c>
      <c r="J57" s="70">
        <f t="shared" si="20"/>
        <v>0</v>
      </c>
      <c r="K57" s="70">
        <f t="shared" si="21"/>
        <v>0</v>
      </c>
      <c r="L57" s="70">
        <f t="shared" si="22"/>
        <v>0</v>
      </c>
      <c r="M57" s="70">
        <f t="shared" si="23"/>
        <v>0</v>
      </c>
      <c r="N57" s="70">
        <f t="shared" si="24"/>
        <v>0</v>
      </c>
      <c r="O57" s="1289"/>
      <c r="P57" s="682"/>
      <c r="Q57" s="682"/>
      <c r="R57" s="682"/>
      <c r="S57" s="682"/>
      <c r="T57" s="682"/>
      <c r="U57" s="682"/>
      <c r="V57" s="682"/>
      <c r="W57" s="682"/>
      <c r="X57" s="682"/>
      <c r="Y57" s="682"/>
      <c r="Z57" s="682"/>
    </row>
    <row r="58" spans="1:26" s="10" customFormat="1" ht="16.899999999999999" customHeight="1" x14ac:dyDescent="0.2">
      <c r="A58" s="32" t="str">
        <f>'BS Analysis Adjustments'!A48</f>
        <v>Less: Treasury stock</v>
      </c>
      <c r="B58" s="231">
        <v>0</v>
      </c>
      <c r="C58" s="27">
        <f>'BS Analysis Adjustments'!AZ48</f>
        <v>0</v>
      </c>
      <c r="D58" s="27">
        <f>'BS Analysis Adjustments'!BA48</f>
        <v>0</v>
      </c>
      <c r="E58" s="27">
        <f>'BS Analysis Adjustments'!BB48</f>
        <v>0</v>
      </c>
      <c r="F58" s="27">
        <f>'BS Analysis Adjustments'!BC48</f>
        <v>0</v>
      </c>
      <c r="G58" s="27">
        <f>'BS Analysis Adjustments'!BD48</f>
        <v>0</v>
      </c>
      <c r="H58" s="193"/>
      <c r="I58" s="70">
        <f t="shared" si="19"/>
        <v>0</v>
      </c>
      <c r="J58" s="70">
        <f t="shared" si="20"/>
        <v>0</v>
      </c>
      <c r="K58" s="70">
        <f t="shared" si="21"/>
        <v>0</v>
      </c>
      <c r="L58" s="70">
        <f t="shared" si="22"/>
        <v>0</v>
      </c>
      <c r="M58" s="70">
        <f t="shared" si="23"/>
        <v>0</v>
      </c>
      <c r="N58" s="70">
        <f t="shared" si="24"/>
        <v>0</v>
      </c>
      <c r="O58" s="1289"/>
      <c r="P58" s="682"/>
      <c r="Q58" s="682"/>
      <c r="R58" s="682"/>
      <c r="S58" s="682"/>
      <c r="T58" s="682"/>
      <c r="U58" s="682"/>
      <c r="V58" s="682"/>
      <c r="W58" s="682"/>
      <c r="X58" s="682"/>
      <c r="Y58" s="682"/>
      <c r="Z58" s="682"/>
    </row>
    <row r="59" spans="1:26" s="10" customFormat="1" ht="16.899999999999999" customHeight="1" x14ac:dyDescent="0.2">
      <c r="A59" s="32" t="str">
        <f>'BS Analysis Adjustments'!A49</f>
        <v>Unearned stock-based compensation</v>
      </c>
      <c r="B59" s="231">
        <v>0</v>
      </c>
      <c r="C59" s="27">
        <f>'BS Analysis Adjustments'!AZ49</f>
        <v>0</v>
      </c>
      <c r="D59" s="27">
        <f>'BS Analysis Adjustments'!BA49</f>
        <v>0</v>
      </c>
      <c r="E59" s="27">
        <f>'BS Analysis Adjustments'!BB49</f>
        <v>0</v>
      </c>
      <c r="F59" s="27">
        <f>'BS Analysis Adjustments'!BC49</f>
        <v>0</v>
      </c>
      <c r="G59" s="27">
        <f>'BS Analysis Adjustments'!BD49</f>
        <v>0</v>
      </c>
      <c r="H59" s="193"/>
      <c r="I59" s="70">
        <f t="shared" si="19"/>
        <v>0</v>
      </c>
      <c r="J59" s="70">
        <f t="shared" si="20"/>
        <v>0</v>
      </c>
      <c r="K59" s="70">
        <f t="shared" si="21"/>
        <v>0</v>
      </c>
      <c r="L59" s="70">
        <f t="shared" si="22"/>
        <v>0</v>
      </c>
      <c r="M59" s="70">
        <f t="shared" si="23"/>
        <v>0</v>
      </c>
      <c r="N59" s="70">
        <f t="shared" si="24"/>
        <v>0</v>
      </c>
      <c r="O59" s="1289"/>
      <c r="P59" s="1165"/>
      <c r="Q59" s="1165"/>
      <c r="R59" s="682"/>
      <c r="S59" s="682"/>
      <c r="T59" s="682"/>
      <c r="U59" s="682"/>
      <c r="V59" s="682"/>
      <c r="W59" s="682"/>
      <c r="X59" s="682"/>
      <c r="Y59" s="682"/>
      <c r="Z59" s="682"/>
    </row>
    <row r="60" spans="1:26" s="10" customFormat="1" ht="16.899999999999999" customHeight="1" x14ac:dyDescent="0.2">
      <c r="A60" s="32" t="str">
        <f>'BS Analysis Adjustments'!A50</f>
        <v>Retained earnings</v>
      </c>
      <c r="B60" s="231">
        <v>882</v>
      </c>
      <c r="C60" s="27">
        <f>'BS Analysis Adjustments'!AZ50</f>
        <v>517</v>
      </c>
      <c r="D60" s="27">
        <f>'BS Analysis Adjustments'!BA50</f>
        <v>315</v>
      </c>
      <c r="E60" s="27">
        <f>'BS Analysis Adjustments'!BB50</f>
        <v>292</v>
      </c>
      <c r="F60" s="27">
        <f>'BS Analysis Adjustments'!BC50</f>
        <v>166</v>
      </c>
      <c r="G60" s="27">
        <f>'BS Analysis Adjustments'!BD50</f>
        <v>-1610</v>
      </c>
      <c r="H60" s="193"/>
      <c r="I60" s="70">
        <f t="shared" si="19"/>
        <v>0.11819887429643527</v>
      </c>
      <c r="J60" s="70">
        <f t="shared" si="20"/>
        <v>4.7936949466852112E-2</v>
      </c>
      <c r="K60" s="70">
        <f t="shared" si="21"/>
        <v>2.7975133214920071E-2</v>
      </c>
      <c r="L60" s="70">
        <f t="shared" si="22"/>
        <v>2.3809523809523808E-2</v>
      </c>
      <c r="M60" s="70">
        <f t="shared" si="23"/>
        <v>1.2611106890526476E-2</v>
      </c>
      <c r="N60" s="70">
        <f t="shared" si="24"/>
        <v>-0.13508978016445713</v>
      </c>
      <c r="O60" s="1289"/>
      <c r="P60" s="682"/>
      <c r="Q60" s="682"/>
      <c r="R60" s="682"/>
      <c r="S60" s="682"/>
      <c r="T60" s="682"/>
      <c r="U60" s="682"/>
      <c r="V60" s="682"/>
      <c r="W60" s="682"/>
      <c r="X60" s="682"/>
      <c r="Y60" s="682"/>
      <c r="Z60" s="682"/>
    </row>
    <row r="61" spans="1:26" s="10" customFormat="1" ht="16.899999999999999" customHeight="1" x14ac:dyDescent="0.2">
      <c r="A61" s="32" t="str">
        <f>'BS Analysis Adjustments'!A51</f>
        <v>Noncontrolling interest in consolid subsid</v>
      </c>
      <c r="B61" s="231">
        <v>0</v>
      </c>
      <c r="C61" s="27">
        <f>'BS Analysis Adjustments'!AZ51</f>
        <v>0</v>
      </c>
      <c r="D61" s="27">
        <f>'BS Analysis Adjustments'!BA51</f>
        <v>0</v>
      </c>
      <c r="E61" s="27">
        <f>'BS Analysis Adjustments'!BB51</f>
        <v>0</v>
      </c>
      <c r="F61" s="27">
        <f>'BS Analysis Adjustments'!BC51</f>
        <v>0</v>
      </c>
      <c r="G61" s="27">
        <f>'BS Analysis Adjustments'!BD51</f>
        <v>0</v>
      </c>
      <c r="H61" s="193"/>
      <c r="I61" s="70">
        <f t="shared" si="19"/>
        <v>0</v>
      </c>
      <c r="J61" s="70">
        <f t="shared" si="20"/>
        <v>0</v>
      </c>
      <c r="K61" s="70">
        <f t="shared" si="21"/>
        <v>0</v>
      </c>
      <c r="L61" s="70">
        <f t="shared" si="22"/>
        <v>0</v>
      </c>
      <c r="M61" s="70">
        <f t="shared" si="23"/>
        <v>0</v>
      </c>
      <c r="N61" s="70">
        <f t="shared" si="24"/>
        <v>0</v>
      </c>
      <c r="O61" s="1289"/>
      <c r="P61" s="682"/>
      <c r="Q61" s="682"/>
      <c r="R61" s="682"/>
      <c r="S61" s="682"/>
      <c r="T61" s="682"/>
      <c r="U61" s="682"/>
      <c r="V61" s="682"/>
      <c r="W61" s="682"/>
      <c r="X61" s="682"/>
      <c r="Y61" s="682"/>
      <c r="Z61" s="682"/>
    </row>
    <row r="62" spans="1:26" ht="16.899999999999999" customHeight="1" x14ac:dyDescent="0.2">
      <c r="A62" s="41" t="str">
        <f>'BS Analysis Adjustments'!A52</f>
        <v>Accum other comprehensive income (loss)</v>
      </c>
      <c r="B62" s="236">
        <v>-29</v>
      </c>
      <c r="C62" s="22">
        <f>'BS Analysis Adjustments'!AZ52</f>
        <v>-45</v>
      </c>
      <c r="D62" s="22">
        <f>'BS Analysis Adjustments'!BA52</f>
        <v>-47</v>
      </c>
      <c r="E62" s="22">
        <f>'BS Analysis Adjustments'!BB52</f>
        <v>-39</v>
      </c>
      <c r="F62" s="22">
        <f>'BS Analysis Adjustments'!BC52</f>
        <v>-64</v>
      </c>
      <c r="G62" s="22">
        <f>'BS Analysis Adjustments'!BD52</f>
        <v>-58</v>
      </c>
      <c r="I62" s="260">
        <f t="shared" si="19"/>
        <v>-3.8863575448941303E-3</v>
      </c>
      <c r="J62" s="260">
        <f t="shared" si="20"/>
        <v>-4.172461752433936E-3</v>
      </c>
      <c r="K62" s="260">
        <f t="shared" si="21"/>
        <v>-4.1740674955595023E-3</v>
      </c>
      <c r="L62" s="260">
        <f t="shared" si="22"/>
        <v>-3.1800391389432484E-3</v>
      </c>
      <c r="M62" s="260">
        <f t="shared" si="23"/>
        <v>-4.8621134999620149E-3</v>
      </c>
      <c r="N62" s="260">
        <f t="shared" si="24"/>
        <v>-4.8665883537506293E-3</v>
      </c>
      <c r="O62" s="1289"/>
      <c r="P62" s="1166"/>
      <c r="Q62" s="1166"/>
    </row>
    <row r="63" spans="1:26" s="14" customFormat="1" ht="16.899999999999999" customHeight="1" x14ac:dyDescent="0.2">
      <c r="A63" s="73" t="str">
        <f>'BS Analysis Adjustments'!A53</f>
        <v>Total stockholders' equity</v>
      </c>
      <c r="B63" s="256">
        <f t="shared" ref="B63:G63" si="25">SUM(B54:B62)</f>
        <v>2021</v>
      </c>
      <c r="C63" s="256">
        <f t="shared" si="25"/>
        <v>1956</v>
      </c>
      <c r="D63" s="256">
        <f t="shared" si="25"/>
        <v>1913</v>
      </c>
      <c r="E63" s="256">
        <f t="shared" si="25"/>
        <v>2080</v>
      </c>
      <c r="F63" s="256">
        <f t="shared" si="25"/>
        <v>2440</v>
      </c>
      <c r="G63" s="256">
        <f t="shared" si="25"/>
        <v>871</v>
      </c>
      <c r="H63" s="193"/>
      <c r="I63" s="74">
        <f t="shared" ref="I63:N63" si="26">SUM(I54:I62)</f>
        <v>0.27083891718038061</v>
      </c>
      <c r="J63" s="74">
        <f t="shared" si="26"/>
        <v>0.18136300417246176</v>
      </c>
      <c r="K63" s="74">
        <f t="shared" si="26"/>
        <v>0.16989342806394314</v>
      </c>
      <c r="L63" s="74">
        <f t="shared" si="26"/>
        <v>0.16960208741030661</v>
      </c>
      <c r="M63" s="74">
        <f t="shared" si="26"/>
        <v>0.18536807718605181</v>
      </c>
      <c r="N63" s="74">
        <f t="shared" si="26"/>
        <v>7.3082732002013748E-2</v>
      </c>
      <c r="O63" s="686"/>
      <c r="P63" s="686"/>
      <c r="Q63" s="686"/>
      <c r="R63" s="686"/>
      <c r="S63" s="686"/>
      <c r="T63" s="686"/>
      <c r="U63" s="686"/>
      <c r="V63" s="686"/>
      <c r="W63" s="686"/>
      <c r="X63" s="686"/>
      <c r="Y63" s="686"/>
      <c r="Z63" s="686"/>
    </row>
    <row r="64" spans="1:26" s="16" customFormat="1" ht="16.899999999999999" customHeight="1" thickBot="1" x14ac:dyDescent="0.25">
      <c r="A64" s="105" t="str">
        <f>'BS Analysis Adjustments'!A54</f>
        <v>Total liabilities and stockholders' equity</v>
      </c>
      <c r="B64" s="29">
        <f t="shared" ref="B64:G64" si="27">B51+B63</f>
        <v>7462</v>
      </c>
      <c r="C64" s="29">
        <f t="shared" si="27"/>
        <v>10785</v>
      </c>
      <c r="D64" s="29">
        <f t="shared" si="27"/>
        <v>11260</v>
      </c>
      <c r="E64" s="29">
        <f t="shared" si="27"/>
        <v>12264</v>
      </c>
      <c r="F64" s="29">
        <f t="shared" si="27"/>
        <v>13163</v>
      </c>
      <c r="G64" s="29">
        <f t="shared" si="27"/>
        <v>11918</v>
      </c>
      <c r="H64" s="193"/>
      <c r="I64" s="72">
        <f t="shared" ref="I64:N64" si="28">I51+I63</f>
        <v>1</v>
      </c>
      <c r="J64" s="72">
        <f t="shared" si="28"/>
        <v>1</v>
      </c>
      <c r="K64" s="72">
        <f t="shared" si="28"/>
        <v>1</v>
      </c>
      <c r="L64" s="72">
        <f t="shared" si="28"/>
        <v>1</v>
      </c>
      <c r="M64" s="72">
        <f t="shared" si="28"/>
        <v>1</v>
      </c>
      <c r="N64" s="72">
        <f t="shared" si="28"/>
        <v>1</v>
      </c>
      <c r="O64" s="1167"/>
      <c r="P64" s="1167"/>
      <c r="Q64" s="1167"/>
      <c r="R64" s="687"/>
      <c r="S64" s="687"/>
      <c r="T64" s="687"/>
      <c r="U64" s="687"/>
      <c r="V64" s="687"/>
      <c r="W64" s="687"/>
      <c r="X64" s="687"/>
      <c r="Y64" s="687"/>
      <c r="Z64" s="687"/>
    </row>
    <row r="65" spans="1:26" s="677" customFormat="1" ht="9" customHeight="1" x14ac:dyDescent="0.2">
      <c r="A65" s="788"/>
      <c r="B65" s="1129"/>
      <c r="C65" s="1129"/>
      <c r="D65" s="1129"/>
      <c r="E65" s="1129"/>
      <c r="F65" s="1129"/>
      <c r="G65" s="1129"/>
      <c r="I65" s="1130"/>
      <c r="J65" s="1131"/>
      <c r="K65" s="1131"/>
      <c r="L65" s="1131"/>
      <c r="M65" s="1131"/>
      <c r="N65" s="1131"/>
    </row>
    <row r="66" spans="1:26" s="28" customFormat="1" ht="16.899999999999999" customHeight="1" x14ac:dyDescent="0.2">
      <c r="A66" s="66" t="s">
        <v>208</v>
      </c>
      <c r="B66" s="310">
        <v>217.7</v>
      </c>
      <c r="C66" s="310">
        <v>218</v>
      </c>
      <c r="D66" s="310">
        <v>207.6</v>
      </c>
      <c r="E66" s="310">
        <v>197</v>
      </c>
      <c r="F66" s="310">
        <v>191.2</v>
      </c>
      <c r="G66" s="310">
        <v>190.1</v>
      </c>
      <c r="H66" s="193"/>
      <c r="I66" s="1022"/>
      <c r="J66" s="1236"/>
      <c r="K66" s="1236"/>
      <c r="L66" s="1236"/>
      <c r="M66" s="1236"/>
      <c r="N66" s="1236"/>
      <c r="O66" s="726"/>
      <c r="P66" s="726"/>
      <c r="Q66" s="726"/>
      <c r="R66" s="726"/>
      <c r="S66" s="726"/>
      <c r="T66" s="726"/>
      <c r="U66" s="726"/>
      <c r="V66" s="726"/>
      <c r="W66" s="726"/>
      <c r="X66" s="726"/>
      <c r="Y66" s="726"/>
      <c r="Z66" s="726"/>
    </row>
    <row r="67" spans="1:26" s="677" customFormat="1" ht="6" customHeight="1" x14ac:dyDescent="0.2">
      <c r="A67" s="1237"/>
      <c r="B67" s="788"/>
      <c r="C67" s="788"/>
      <c r="D67" s="788"/>
      <c r="E67" s="788"/>
      <c r="F67" s="788"/>
      <c r="G67" s="788"/>
      <c r="I67" s="1132"/>
      <c r="J67" s="1238"/>
      <c r="K67" s="1238"/>
      <c r="L67" s="1238"/>
      <c r="M67" s="1238"/>
      <c r="N67" s="1238"/>
    </row>
    <row r="68" spans="1:26" s="777" customFormat="1" ht="16.5" customHeight="1" x14ac:dyDescent="0.2">
      <c r="A68" s="1127" t="s">
        <v>1012</v>
      </c>
      <c r="B68" s="1124"/>
      <c r="C68" s="1124"/>
      <c r="D68" s="1124"/>
      <c r="E68" s="1124"/>
      <c r="F68" s="1124"/>
      <c r="G68" s="1124"/>
      <c r="H68" s="677"/>
      <c r="I68" s="1128"/>
      <c r="J68" s="1126"/>
      <c r="K68" s="1126"/>
      <c r="L68" s="1126"/>
      <c r="M68" s="1126"/>
      <c r="N68" s="1126"/>
    </row>
    <row r="69" spans="1:26" s="22" customFormat="1" ht="16.899999999999999" customHeight="1" x14ac:dyDescent="0.2">
      <c r="A69" s="483" t="s">
        <v>41</v>
      </c>
      <c r="B69" s="26" t="str">
        <f>B8</f>
        <v>Fiscal year ended (after analysis adjustments)</v>
      </c>
      <c r="C69" s="269"/>
      <c r="D69" s="269"/>
      <c r="E69" s="269"/>
      <c r="F69" s="269"/>
      <c r="G69" s="269"/>
      <c r="H69" s="193"/>
      <c r="I69" s="247" t="str">
        <f>I8</f>
        <v>Fiscal year ended (after analysis adjustments)</v>
      </c>
      <c r="J69" s="269"/>
      <c r="K69" s="269"/>
      <c r="L69" s="269"/>
      <c r="M69" s="269"/>
      <c r="N69" s="269"/>
      <c r="O69" s="1284" t="s">
        <v>1014</v>
      </c>
      <c r="P69" s="677"/>
      <c r="Q69" s="677"/>
      <c r="R69" s="677"/>
      <c r="S69" s="677"/>
      <c r="T69" s="677"/>
      <c r="U69" s="677"/>
      <c r="V69" s="677"/>
      <c r="W69" s="677"/>
      <c r="X69" s="677"/>
      <c r="Y69" s="677"/>
      <c r="Z69" s="677"/>
    </row>
    <row r="70" spans="1:26" s="65" customFormat="1" ht="16.899999999999999" customHeight="1" x14ac:dyDescent="0.2">
      <c r="A70" s="1162"/>
      <c r="B70" s="62">
        <f>B9</f>
        <v>2010</v>
      </c>
      <c r="C70" s="62">
        <f>C9</f>
        <v>2011</v>
      </c>
      <c r="D70" s="62">
        <f>D9</f>
        <v>2012</v>
      </c>
      <c r="E70" s="62">
        <f>E9</f>
        <v>2013</v>
      </c>
      <c r="F70" s="62">
        <f>F9</f>
        <v>2014</v>
      </c>
      <c r="G70" s="62">
        <f>G9</f>
        <v>2015</v>
      </c>
      <c r="H70" s="676"/>
      <c r="I70" s="69">
        <f>I9</f>
        <v>2010</v>
      </c>
      <c r="J70" s="69">
        <f>J9</f>
        <v>2011</v>
      </c>
      <c r="K70" s="69">
        <f>K9</f>
        <v>2012</v>
      </c>
      <c r="L70" s="69">
        <f>L9</f>
        <v>2013</v>
      </c>
      <c r="M70" s="69">
        <f>M9</f>
        <v>2014</v>
      </c>
      <c r="N70" s="69">
        <f>N9</f>
        <v>2015</v>
      </c>
      <c r="O70" s="1285"/>
      <c r="P70" s="1162"/>
      <c r="Q70" s="1162"/>
      <c r="R70" s="1162"/>
      <c r="S70" s="1162"/>
      <c r="T70" s="1162"/>
      <c r="U70" s="1162"/>
      <c r="V70" s="1162"/>
      <c r="W70" s="1162"/>
      <c r="X70" s="1162"/>
      <c r="Y70" s="1162"/>
      <c r="Z70" s="1162"/>
    </row>
    <row r="71" spans="1:26" s="10" customFormat="1" ht="16.899999999999999" customHeight="1" x14ac:dyDescent="0.2">
      <c r="A71" s="32" t="str">
        <f>'IS Analysis Adjustments'!A4</f>
        <v>Sales, net returns and allowances</v>
      </c>
      <c r="B71" s="231">
        <v>9700</v>
      </c>
      <c r="C71" s="27">
        <f>'IS Analysis Adjustments'!AZ4</f>
        <v>10877</v>
      </c>
      <c r="D71" s="27">
        <f>'IS Analysis Adjustments'!BA4</f>
        <v>12148</v>
      </c>
      <c r="E71" s="27">
        <f>'IS Analysis Adjustments'!BB4</f>
        <v>12540</v>
      </c>
      <c r="F71" s="27">
        <f>'IS Analysis Adjustments'!BC4</f>
        <v>13506</v>
      </c>
      <c r="G71" s="27">
        <f>'IS Analysis Adjustments'!BD4</f>
        <v>14373</v>
      </c>
      <c r="H71" s="193"/>
      <c r="I71" s="63">
        <v>1</v>
      </c>
      <c r="J71" s="63">
        <v>1</v>
      </c>
      <c r="K71" s="63">
        <v>1</v>
      </c>
      <c r="L71" s="63">
        <v>1</v>
      </c>
      <c r="M71" s="63">
        <v>1</v>
      </c>
      <c r="N71" s="63">
        <v>1</v>
      </c>
      <c r="O71" s="1288" t="s">
        <v>23</v>
      </c>
      <c r="P71" s="682"/>
      <c r="Q71" s="682"/>
      <c r="R71" s="682"/>
      <c r="S71" s="682"/>
      <c r="T71" s="682"/>
      <c r="U71" s="682"/>
      <c r="V71" s="682"/>
      <c r="W71" s="682"/>
      <c r="X71" s="682"/>
      <c r="Y71" s="682"/>
      <c r="Z71" s="682"/>
    </row>
    <row r="72" spans="1:26" s="20" customFormat="1" ht="16.899999999999999" customHeight="1" x14ac:dyDescent="0.2">
      <c r="A72" s="266" t="str">
        <f>'IS Analysis Adjustments'!A5</f>
        <v xml:space="preserve"> COS (LOCOM, retail average cost)</v>
      </c>
      <c r="B72" s="232">
        <v>5897</v>
      </c>
      <c r="C72" s="35">
        <f>'IS Analysis Adjustments'!AZ5</f>
        <v>6633</v>
      </c>
      <c r="D72" s="35">
        <f>'IS Analysis Adjustments'!BA5</f>
        <v>7515</v>
      </c>
      <c r="E72" s="35">
        <f>'IS Analysis Adjustments'!BB5</f>
        <v>7789</v>
      </c>
      <c r="F72" s="35">
        <f>'IS Analysis Adjustments'!BC5</f>
        <v>8490</v>
      </c>
      <c r="G72" s="35">
        <f>'IS Analysis Adjustments'!BD5</f>
        <v>9293</v>
      </c>
      <c r="H72" s="193"/>
      <c r="I72" s="64">
        <f t="shared" ref="I72:N73" si="29">B72/B$71</f>
        <v>0.6079381443298969</v>
      </c>
      <c r="J72" s="64">
        <f t="shared" si="29"/>
        <v>0.60981888388342376</v>
      </c>
      <c r="K72" s="64">
        <f t="shared" si="29"/>
        <v>0.61862034902864671</v>
      </c>
      <c r="L72" s="64">
        <f t="shared" si="29"/>
        <v>0.62113237639553431</v>
      </c>
      <c r="M72" s="64">
        <f t="shared" si="29"/>
        <v>0.62860950688582851</v>
      </c>
      <c r="N72" s="64">
        <f t="shared" si="29"/>
        <v>0.64655952132470607</v>
      </c>
      <c r="O72" s="1289"/>
      <c r="P72" s="684"/>
      <c r="Q72" s="684"/>
      <c r="R72" s="684"/>
      <c r="S72" s="684"/>
      <c r="T72" s="684"/>
      <c r="U72" s="684"/>
      <c r="V72" s="684"/>
      <c r="W72" s="684"/>
      <c r="X72" s="684"/>
      <c r="Y72" s="684"/>
      <c r="Z72" s="684"/>
    </row>
    <row r="73" spans="1:26" s="48" customFormat="1" ht="16.899999999999999" customHeight="1" x14ac:dyDescent="0.2">
      <c r="A73" s="255" t="str">
        <f>'IS Analysis Adjustments'!A6</f>
        <v>Gross profit</v>
      </c>
      <c r="B73" s="250">
        <f t="shared" ref="B73:G73" si="30">B71-B72</f>
        <v>3803</v>
      </c>
      <c r="C73" s="250">
        <f t="shared" si="30"/>
        <v>4244</v>
      </c>
      <c r="D73" s="250">
        <f t="shared" si="30"/>
        <v>4633</v>
      </c>
      <c r="E73" s="250">
        <f t="shared" si="30"/>
        <v>4751</v>
      </c>
      <c r="F73" s="250">
        <f t="shared" si="30"/>
        <v>5016</v>
      </c>
      <c r="G73" s="250">
        <f t="shared" si="30"/>
        <v>5080</v>
      </c>
      <c r="H73" s="193"/>
      <c r="I73" s="264">
        <f t="shared" si="29"/>
        <v>0.3920618556701031</v>
      </c>
      <c r="J73" s="264">
        <f t="shared" si="29"/>
        <v>0.39018111611657624</v>
      </c>
      <c r="K73" s="264">
        <f t="shared" si="29"/>
        <v>0.38137965097135329</v>
      </c>
      <c r="L73" s="264">
        <f t="shared" si="29"/>
        <v>0.37886762360446569</v>
      </c>
      <c r="M73" s="264">
        <f t="shared" si="29"/>
        <v>0.37139049311417149</v>
      </c>
      <c r="N73" s="264">
        <f t="shared" si="29"/>
        <v>0.35344047867529393</v>
      </c>
      <c r="O73" s="1289"/>
      <c r="P73" s="717"/>
      <c r="Q73" s="717"/>
      <c r="R73" s="717"/>
      <c r="S73" s="717"/>
      <c r="T73" s="717"/>
      <c r="U73" s="717"/>
      <c r="V73" s="717"/>
      <c r="W73" s="717"/>
      <c r="X73" s="717"/>
      <c r="Y73" s="717"/>
      <c r="Z73" s="717"/>
    </row>
    <row r="74" spans="1:26" s="18" customFormat="1" ht="16.899999999999999" customHeight="1" x14ac:dyDescent="0.2">
      <c r="A74" s="5" t="str">
        <f>'IS Analysis Adjustments'!A7</f>
        <v>Operating expenses</v>
      </c>
      <c r="B74" s="677"/>
      <c r="C74" s="726"/>
      <c r="D74" s="726"/>
      <c r="E74" s="726"/>
      <c r="F74" s="726"/>
      <c r="G74" s="726"/>
      <c r="H74" s="677"/>
      <c r="I74" s="1022"/>
      <c r="J74" s="1022"/>
      <c r="K74" s="1022"/>
      <c r="L74" s="1022"/>
      <c r="M74" s="1022"/>
      <c r="N74" s="1022"/>
      <c r="O74" s="1290"/>
      <c r="P74" s="1234"/>
      <c r="Q74" s="1234"/>
      <c r="R74" s="1234"/>
      <c r="S74" s="1234"/>
      <c r="T74" s="1234"/>
      <c r="U74" s="1234"/>
      <c r="V74" s="1234"/>
      <c r="W74" s="1234"/>
      <c r="X74" s="1234"/>
      <c r="Y74" s="1234"/>
      <c r="Z74" s="1234"/>
    </row>
    <row r="75" spans="1:26" s="10" customFormat="1" ht="16.899999999999999" customHeight="1" x14ac:dyDescent="0.2">
      <c r="A75" s="32" t="str">
        <f>'IS Analysis Adjustments'!A8</f>
        <v>SG&amp;A expenses (excl D&amp;A and advertising)</v>
      </c>
      <c r="B75" s="231">
        <v>2244</v>
      </c>
      <c r="C75" s="27">
        <f>'IS Analysis Adjustments'!AZ8</f>
        <v>2394</v>
      </c>
      <c r="D75" s="27">
        <f>'IS Analysis Adjustments'!BA8</f>
        <v>2652</v>
      </c>
      <c r="E75" s="27">
        <f>'IS Analysis Adjustments'!BB8</f>
        <v>2672</v>
      </c>
      <c r="F75" s="27">
        <f>'IS Analysis Adjustments'!BC8</f>
        <v>2889</v>
      </c>
      <c r="G75" s="27">
        <f>'IS Analysis Adjustments'!BD8</f>
        <v>3121</v>
      </c>
      <c r="H75" s="193"/>
      <c r="I75" s="63">
        <f t="shared" ref="I75:N81" si="31">B75/B$71</f>
        <v>0.231340206185567</v>
      </c>
      <c r="J75" s="63">
        <f t="shared" si="31"/>
        <v>0.22009745334191413</v>
      </c>
      <c r="K75" s="63">
        <f t="shared" si="31"/>
        <v>0.21830754033585775</v>
      </c>
      <c r="L75" s="63">
        <f t="shared" si="31"/>
        <v>0.21307814992025517</v>
      </c>
      <c r="M75" s="63">
        <f t="shared" si="31"/>
        <v>0.2139049311417148</v>
      </c>
      <c r="N75" s="63">
        <f t="shared" si="31"/>
        <v>0.2171432547136993</v>
      </c>
      <c r="O75" s="1290"/>
      <c r="P75" s="682"/>
      <c r="Q75" s="682"/>
      <c r="R75" s="682"/>
      <c r="S75" s="682"/>
      <c r="T75" s="682"/>
      <c r="U75" s="682"/>
      <c r="V75" s="682"/>
      <c r="W75" s="682"/>
      <c r="X75" s="682"/>
      <c r="Y75" s="682"/>
      <c r="Z75" s="682"/>
    </row>
    <row r="76" spans="1:26" s="10" customFormat="1" ht="16.899999999999999" customHeight="1" x14ac:dyDescent="0.2">
      <c r="A76" s="32" t="str">
        <f>'IS Analysis Adjustments'!A9</f>
        <v>R&amp;D expense</v>
      </c>
      <c r="B76" s="231">
        <v>0</v>
      </c>
      <c r="C76" s="27">
        <f>'IS Analysis Adjustments'!AZ9</f>
        <v>0</v>
      </c>
      <c r="D76" s="27">
        <f>'IS Analysis Adjustments'!BA9</f>
        <v>0</v>
      </c>
      <c r="E76" s="27">
        <f>'IS Analysis Adjustments'!BB9</f>
        <v>0</v>
      </c>
      <c r="F76" s="27">
        <f>'IS Analysis Adjustments'!BC9</f>
        <v>0</v>
      </c>
      <c r="G76" s="27">
        <f>'IS Analysis Adjustments'!BD9</f>
        <v>0</v>
      </c>
      <c r="H76" s="193"/>
      <c r="I76" s="63">
        <f t="shared" si="31"/>
        <v>0</v>
      </c>
      <c r="J76" s="63">
        <f t="shared" si="31"/>
        <v>0</v>
      </c>
      <c r="K76" s="63">
        <f t="shared" si="31"/>
        <v>0</v>
      </c>
      <c r="L76" s="63">
        <f t="shared" si="31"/>
        <v>0</v>
      </c>
      <c r="M76" s="63">
        <f t="shared" si="31"/>
        <v>0</v>
      </c>
      <c r="N76" s="63">
        <f t="shared" si="31"/>
        <v>0</v>
      </c>
      <c r="O76" s="1290"/>
      <c r="P76" s="682"/>
      <c r="Q76" s="682"/>
      <c r="R76" s="682"/>
      <c r="S76" s="682"/>
      <c r="T76" s="682"/>
      <c r="U76" s="682"/>
      <c r="V76" s="682"/>
      <c r="W76" s="682"/>
      <c r="X76" s="682"/>
      <c r="Y76" s="682"/>
      <c r="Z76" s="682"/>
    </row>
    <row r="77" spans="1:26" s="10" customFormat="1" ht="16.899999999999999" customHeight="1" x14ac:dyDescent="0.2">
      <c r="A77" s="32" t="str">
        <f>'IS Analysis Adjustments'!A10</f>
        <v>Advertising expense</v>
      </c>
      <c r="B77" s="231">
        <v>114</v>
      </c>
      <c r="C77" s="27">
        <f>'IS Analysis Adjustments'!AZ10</f>
        <v>128</v>
      </c>
      <c r="D77" s="27">
        <f>'IS Analysis Adjustments'!BA10</f>
        <v>161</v>
      </c>
      <c r="E77" s="27">
        <f>'IS Analysis Adjustments'!BB10</f>
        <v>167</v>
      </c>
      <c r="F77" s="27">
        <f>'IS Analysis Adjustments'!BC10</f>
        <v>195</v>
      </c>
      <c r="G77" s="27">
        <f>'IS Analysis Adjustments'!BD10</f>
        <v>227</v>
      </c>
      <c r="H77" s="193"/>
      <c r="I77" s="63">
        <f t="shared" si="31"/>
        <v>1.1752577319587629E-2</v>
      </c>
      <c r="J77" s="63">
        <f t="shared" si="31"/>
        <v>1.1767950721706354E-2</v>
      </c>
      <c r="K77" s="63">
        <f t="shared" si="31"/>
        <v>1.3253210405004939E-2</v>
      </c>
      <c r="L77" s="63">
        <f t="shared" si="31"/>
        <v>1.3317384370015948E-2</v>
      </c>
      <c r="M77" s="63">
        <f t="shared" si="31"/>
        <v>1.4438027543314082E-2</v>
      </c>
      <c r="N77" s="63">
        <f t="shared" si="31"/>
        <v>1.5793501704584986E-2</v>
      </c>
      <c r="O77" s="1290"/>
      <c r="P77" s="682"/>
      <c r="Q77" s="682"/>
      <c r="R77" s="682"/>
      <c r="S77" s="682"/>
      <c r="T77" s="682"/>
      <c r="U77" s="682"/>
      <c r="V77" s="682"/>
      <c r="W77" s="682"/>
      <c r="X77" s="682"/>
      <c r="Y77" s="682"/>
      <c r="Z77" s="682"/>
    </row>
    <row r="78" spans="1:26" s="10" customFormat="1" ht="16.899999999999999" customHeight="1" x14ac:dyDescent="0.2">
      <c r="A78" s="32" t="str">
        <f>'IS Analysis Adjustments'!A11</f>
        <v>D&amp;A</v>
      </c>
      <c r="B78" s="231">
        <v>327</v>
      </c>
      <c r="C78" s="27">
        <f>'IS Analysis Adjustments'!AZ11</f>
        <v>445</v>
      </c>
      <c r="D78" s="27">
        <f>'IS Analysis Adjustments'!BA11</f>
        <v>506</v>
      </c>
      <c r="E78" s="27">
        <f>'IS Analysis Adjustments'!BB11</f>
        <v>569</v>
      </c>
      <c r="F78" s="27">
        <f>'IS Analysis Adjustments'!BC11</f>
        <v>650</v>
      </c>
      <c r="G78" s="27">
        <f>'IS Analysis Adjustments'!BD11</f>
        <v>742</v>
      </c>
      <c r="H78" s="193"/>
      <c r="I78" s="63">
        <f t="shared" si="31"/>
        <v>3.3711340206185568E-2</v>
      </c>
      <c r="J78" s="63">
        <f t="shared" si="31"/>
        <v>4.0912016180932244E-2</v>
      </c>
      <c r="K78" s="63">
        <f t="shared" si="31"/>
        <v>4.1652946987158379E-2</v>
      </c>
      <c r="L78" s="63">
        <f t="shared" si="31"/>
        <v>4.5374800637958533E-2</v>
      </c>
      <c r="M78" s="63">
        <f t="shared" si="31"/>
        <v>4.812675847771361E-2</v>
      </c>
      <c r="N78" s="63">
        <f t="shared" si="31"/>
        <v>5.1624573853753568E-2</v>
      </c>
      <c r="O78" s="1290"/>
      <c r="P78" s="682"/>
      <c r="Q78" s="682"/>
      <c r="R78" s="682"/>
      <c r="S78" s="682"/>
      <c r="T78" s="682"/>
      <c r="U78" s="682"/>
      <c r="V78" s="682"/>
      <c r="W78" s="682"/>
      <c r="X78" s="682"/>
      <c r="Y78" s="682"/>
      <c r="Z78" s="682"/>
    </row>
    <row r="79" spans="1:26" ht="16.899999999999999" customHeight="1" x14ac:dyDescent="0.2">
      <c r="A79" s="41" t="str">
        <f>'IS Analysis Adjustments'!A12</f>
        <v>Other operating expenses (income)</v>
      </c>
      <c r="B79" s="236">
        <v>0</v>
      </c>
      <c r="C79" s="40">
        <f>'IS Analysis Adjustments'!AZ12</f>
        <v>0</v>
      </c>
      <c r="D79" s="40">
        <f>'IS Analysis Adjustments'!BA12</f>
        <v>0</v>
      </c>
      <c r="E79" s="40">
        <f>'IS Analysis Adjustments'!BB12</f>
        <v>0</v>
      </c>
      <c r="F79" s="40">
        <f>'IS Analysis Adjustments'!BC12</f>
        <v>0</v>
      </c>
      <c r="G79" s="40">
        <f>'IS Analysis Adjustments'!BD12</f>
        <v>0</v>
      </c>
      <c r="I79" s="263">
        <f t="shared" si="31"/>
        <v>0</v>
      </c>
      <c r="J79" s="263">
        <f t="shared" si="31"/>
        <v>0</v>
      </c>
      <c r="K79" s="263">
        <f t="shared" si="31"/>
        <v>0</v>
      </c>
      <c r="L79" s="263">
        <f t="shared" si="31"/>
        <v>0</v>
      </c>
      <c r="M79" s="263">
        <f t="shared" si="31"/>
        <v>0</v>
      </c>
      <c r="N79" s="263">
        <f t="shared" si="31"/>
        <v>0</v>
      </c>
      <c r="O79" s="1290"/>
    </row>
    <row r="80" spans="1:26" s="14" customFormat="1" ht="16.899999999999999" customHeight="1" x14ac:dyDescent="0.2">
      <c r="A80" s="73" t="str">
        <f>'IS Analysis Adjustments'!A13</f>
        <v>Total operating expenses</v>
      </c>
      <c r="B80" s="256">
        <f t="shared" ref="B80:G80" si="32">SUM(B75:B79)</f>
        <v>2685</v>
      </c>
      <c r="C80" s="256">
        <f t="shared" si="32"/>
        <v>2967</v>
      </c>
      <c r="D80" s="256">
        <f t="shared" si="32"/>
        <v>3319</v>
      </c>
      <c r="E80" s="256">
        <f t="shared" si="32"/>
        <v>3408</v>
      </c>
      <c r="F80" s="256">
        <f t="shared" si="32"/>
        <v>3734</v>
      </c>
      <c r="G80" s="256">
        <f t="shared" si="32"/>
        <v>4090</v>
      </c>
      <c r="H80" s="193"/>
      <c r="I80" s="64">
        <f t="shared" si="31"/>
        <v>0.27680412371134022</v>
      </c>
      <c r="J80" s="64">
        <f t="shared" si="31"/>
        <v>0.2727774202445527</v>
      </c>
      <c r="K80" s="64">
        <f t="shared" si="31"/>
        <v>0.27321369772802107</v>
      </c>
      <c r="L80" s="64">
        <f t="shared" si="31"/>
        <v>0.27177033492822966</v>
      </c>
      <c r="M80" s="64">
        <f t="shared" si="31"/>
        <v>0.27646971716274249</v>
      </c>
      <c r="N80" s="64">
        <f t="shared" si="31"/>
        <v>0.28456133027203784</v>
      </c>
      <c r="O80" s="1290"/>
      <c r="P80" s="686"/>
      <c r="Q80" s="686"/>
      <c r="R80" s="686"/>
      <c r="S80" s="686"/>
      <c r="T80" s="686"/>
      <c r="U80" s="686"/>
      <c r="V80" s="686"/>
      <c r="W80" s="686"/>
      <c r="X80" s="686"/>
      <c r="Y80" s="686"/>
      <c r="Z80" s="686"/>
    </row>
    <row r="81" spans="1:26" ht="16.899999999999999" customHeight="1" x14ac:dyDescent="0.2">
      <c r="A81" s="41" t="str">
        <f>'IS Analysis Adjustments'!A14</f>
        <v>Operating income</v>
      </c>
      <c r="B81" s="28">
        <f t="shared" ref="B81:G81" si="33">B73-B80</f>
        <v>1118</v>
      </c>
      <c r="C81" s="28">
        <f t="shared" si="33"/>
        <v>1277</v>
      </c>
      <c r="D81" s="28">
        <f t="shared" si="33"/>
        <v>1314</v>
      </c>
      <c r="E81" s="28">
        <f t="shared" si="33"/>
        <v>1343</v>
      </c>
      <c r="F81" s="28">
        <f t="shared" si="33"/>
        <v>1282</v>
      </c>
      <c r="G81" s="28">
        <f t="shared" si="33"/>
        <v>990</v>
      </c>
      <c r="I81" s="67">
        <f t="shared" si="31"/>
        <v>0.11525773195876289</v>
      </c>
      <c r="J81" s="67">
        <f t="shared" si="31"/>
        <v>0.11740369587202354</v>
      </c>
      <c r="K81" s="67">
        <f t="shared" si="31"/>
        <v>0.10816595324333224</v>
      </c>
      <c r="L81" s="67">
        <f t="shared" si="31"/>
        <v>0.10709728867623604</v>
      </c>
      <c r="M81" s="67">
        <f t="shared" si="31"/>
        <v>9.492077595142899E-2</v>
      </c>
      <c r="N81" s="67">
        <f t="shared" si="31"/>
        <v>6.887914840325611E-2</v>
      </c>
      <c r="O81" s="1291"/>
    </row>
    <row r="82" spans="1:26" s="10" customFormat="1" ht="16.899999999999999" customHeight="1" x14ac:dyDescent="0.2">
      <c r="A82" s="12" t="str">
        <f>'IS Analysis Adjustments'!A15</f>
        <v>Other income (expense)</v>
      </c>
      <c r="B82" s="718"/>
      <c r="C82" s="718"/>
      <c r="D82" s="718"/>
      <c r="E82" s="718"/>
      <c r="F82" s="718"/>
      <c r="G82" s="718"/>
      <c r="H82" s="677"/>
      <c r="I82" s="1024"/>
      <c r="J82" s="1024"/>
      <c r="K82" s="1024"/>
      <c r="L82" s="1024"/>
      <c r="M82" s="1024"/>
      <c r="N82" s="1024"/>
      <c r="O82" s="682"/>
      <c r="P82" s="682"/>
      <c r="Q82" s="682"/>
      <c r="R82" s="682"/>
      <c r="S82" s="682"/>
      <c r="T82" s="682"/>
      <c r="U82" s="682"/>
      <c r="V82" s="682"/>
      <c r="W82" s="682"/>
      <c r="X82" s="682"/>
      <c r="Y82" s="682"/>
      <c r="Z82" s="682"/>
    </row>
    <row r="83" spans="1:26" s="31" customFormat="1" ht="16.899999999999999" customHeight="1" x14ac:dyDescent="0.2">
      <c r="A83" s="31" t="str">
        <f>'IS Analysis Adjustments'!A16</f>
        <v>Interest expense, net of interest income</v>
      </c>
      <c r="B83" s="231">
        <v>-127</v>
      </c>
      <c r="C83" s="27">
        <f>'IS Analysis Adjustments'!AZ16</f>
        <v>-180</v>
      </c>
      <c r="D83" s="27">
        <f>'IS Analysis Adjustments'!BA16</f>
        <v>-209</v>
      </c>
      <c r="E83" s="27">
        <f>'IS Analysis Adjustments'!BB16</f>
        <v>-238</v>
      </c>
      <c r="F83" s="27">
        <f>'IS Analysis Adjustments'!BC16</f>
        <v>-232</v>
      </c>
      <c r="G83" s="27">
        <f>'IS Analysis Adjustments'!BD16</f>
        <v>-240</v>
      </c>
      <c r="H83" s="193"/>
      <c r="I83" s="63">
        <f t="shared" ref="I83:I97" si="34">B83/B$71</f>
        <v>-1.3092783505154639E-2</v>
      </c>
      <c r="J83" s="63">
        <f t="shared" ref="J83:J97" si="35">C83/C$71</f>
        <v>-1.6548680702399558E-2</v>
      </c>
      <c r="K83" s="63">
        <f t="shared" ref="K83:K97" si="36">D83/D$71</f>
        <v>-1.7204478103391506E-2</v>
      </c>
      <c r="L83" s="63">
        <f t="shared" ref="L83:L97" si="37">E83/E$71</f>
        <v>-1.8979266347687401E-2</v>
      </c>
      <c r="M83" s="63">
        <f t="shared" ref="M83:M97" si="38">F83/F$71</f>
        <v>-1.7177550718199319E-2</v>
      </c>
      <c r="N83" s="63">
        <f t="shared" ref="N83:N97" si="39">G83/G$71</f>
        <v>-1.6697975370486329E-2</v>
      </c>
      <c r="O83" s="682"/>
      <c r="P83" s="682"/>
      <c r="Q83" s="682"/>
      <c r="R83" s="682"/>
      <c r="S83" s="682"/>
      <c r="T83" s="682"/>
      <c r="U83" s="682"/>
      <c r="V83" s="682"/>
      <c r="W83" s="682"/>
      <c r="X83" s="682"/>
      <c r="Y83" s="682"/>
      <c r="Z83" s="682"/>
    </row>
    <row r="84" spans="1:26" s="31" customFormat="1" ht="16.899999999999999" customHeight="1" x14ac:dyDescent="0.2">
      <c r="A84" s="31" t="str">
        <f>'IS Analysis Adjustments'!A17</f>
        <v>Gain (loss) on spin-off of subsidiary</v>
      </c>
      <c r="B84" s="231">
        <v>0</v>
      </c>
      <c r="C84" s="27">
        <f>'IS Analysis Adjustments'!AZ17</f>
        <v>0</v>
      </c>
      <c r="D84" s="27">
        <f>'IS Analysis Adjustments'!BA17</f>
        <v>0</v>
      </c>
      <c r="E84" s="27">
        <f>'IS Analysis Adjustments'!BB17</f>
        <v>0</v>
      </c>
      <c r="F84" s="27">
        <f>'IS Analysis Adjustments'!BC17</f>
        <v>0</v>
      </c>
      <c r="G84" s="27">
        <f>'IS Analysis Adjustments'!BD17</f>
        <v>0</v>
      </c>
      <c r="H84" s="193"/>
      <c r="I84" s="63">
        <f t="shared" si="34"/>
        <v>0</v>
      </c>
      <c r="J84" s="63">
        <f t="shared" si="35"/>
        <v>0</v>
      </c>
      <c r="K84" s="63">
        <f t="shared" si="36"/>
        <v>0</v>
      </c>
      <c r="L84" s="63">
        <f t="shared" si="37"/>
        <v>0</v>
      </c>
      <c r="M84" s="63">
        <f t="shared" si="38"/>
        <v>0</v>
      </c>
      <c r="N84" s="63">
        <f t="shared" si="39"/>
        <v>0</v>
      </c>
      <c r="O84" s="682"/>
      <c r="P84" s="682"/>
      <c r="Q84" s="682"/>
      <c r="R84" s="682"/>
      <c r="S84" s="682"/>
      <c r="T84" s="682"/>
      <c r="U84" s="682"/>
      <c r="V84" s="682"/>
      <c r="W84" s="682"/>
      <c r="X84" s="682"/>
      <c r="Y84" s="682"/>
      <c r="Z84" s="682"/>
    </row>
    <row r="85" spans="1:26" s="31" customFormat="1" ht="16.899999999999999" customHeight="1" x14ac:dyDescent="0.2">
      <c r="A85" s="31" t="str">
        <f>'IS Analysis Adjustments'!A18</f>
        <v>Gain (loss) on debt restruct/early extinguish</v>
      </c>
      <c r="B85" s="231">
        <v>0</v>
      </c>
      <c r="C85" s="27">
        <f>'IS Analysis Adjustments'!AZ18</f>
        <v>0</v>
      </c>
      <c r="D85" s="27">
        <f>'IS Analysis Adjustments'!BA18</f>
        <v>0</v>
      </c>
      <c r="E85" s="27">
        <f>'IS Analysis Adjustments'!BB18</f>
        <v>0</v>
      </c>
      <c r="F85" s="27">
        <f>'IS Analysis Adjustments'!BC18</f>
        <v>0</v>
      </c>
      <c r="G85" s="27">
        <f>'IS Analysis Adjustments'!BD18</f>
        <v>0</v>
      </c>
      <c r="H85" s="193"/>
      <c r="I85" s="63">
        <f t="shared" si="34"/>
        <v>0</v>
      </c>
      <c r="J85" s="63">
        <f t="shared" si="35"/>
        <v>0</v>
      </c>
      <c r="K85" s="63">
        <f t="shared" si="36"/>
        <v>0</v>
      </c>
      <c r="L85" s="63">
        <f t="shared" si="37"/>
        <v>0</v>
      </c>
      <c r="M85" s="63">
        <f t="shared" si="38"/>
        <v>0</v>
      </c>
      <c r="N85" s="63">
        <f t="shared" si="39"/>
        <v>0</v>
      </c>
      <c r="O85" s="682"/>
      <c r="P85" s="682"/>
      <c r="Q85" s="682"/>
      <c r="R85" s="682"/>
      <c r="S85" s="682"/>
      <c r="T85" s="682"/>
      <c r="U85" s="682"/>
      <c r="V85" s="682"/>
      <c r="W85" s="682"/>
      <c r="X85" s="682"/>
      <c r="Y85" s="682"/>
      <c r="Z85" s="682"/>
    </row>
    <row r="86" spans="1:26" s="31" customFormat="1" ht="16.899999999999999" customHeight="1" x14ac:dyDescent="0.2">
      <c r="A86" s="31" t="str">
        <f>'IS Analysis Adjustments'!A19</f>
        <v>Gain (loss) on disposal of credit card receivables</v>
      </c>
      <c r="B86" s="231">
        <v>0</v>
      </c>
      <c r="C86" s="27">
        <f>'IS Analysis Adjustments'!AZ19</f>
        <v>0</v>
      </c>
      <c r="D86" s="27">
        <f>'IS Analysis Adjustments'!BA19</f>
        <v>0</v>
      </c>
      <c r="E86" s="27">
        <f>'IS Analysis Adjustments'!BB19</f>
        <v>0</v>
      </c>
      <c r="F86" s="27">
        <f>'IS Analysis Adjustments'!BC19</f>
        <v>0</v>
      </c>
      <c r="G86" s="27">
        <f>'IS Analysis Adjustments'!BD19</f>
        <v>0</v>
      </c>
      <c r="H86" s="193"/>
      <c r="I86" s="63">
        <f t="shared" si="34"/>
        <v>0</v>
      </c>
      <c r="J86" s="63">
        <f t="shared" si="35"/>
        <v>0</v>
      </c>
      <c r="K86" s="63">
        <f t="shared" si="36"/>
        <v>0</v>
      </c>
      <c r="L86" s="63">
        <f t="shared" si="37"/>
        <v>0</v>
      </c>
      <c r="M86" s="63">
        <f t="shared" si="38"/>
        <v>0</v>
      </c>
      <c r="N86" s="63">
        <f t="shared" si="39"/>
        <v>0</v>
      </c>
      <c r="O86" s="682"/>
      <c r="P86" s="682"/>
      <c r="Q86" s="682"/>
      <c r="R86" s="682"/>
      <c r="S86" s="682"/>
      <c r="T86" s="682"/>
      <c r="U86" s="682"/>
      <c r="V86" s="682"/>
      <c r="W86" s="682"/>
      <c r="X86" s="682"/>
      <c r="Y86" s="682"/>
      <c r="Z86" s="682"/>
    </row>
    <row r="87" spans="1:26" s="31" customFormat="1" ht="16.899999999999999" customHeight="1" x14ac:dyDescent="0.2">
      <c r="A87" s="31" t="str">
        <f>'IS Analysis Adjustments'!A20</f>
        <v>Gain (loss) on disposal of PP&amp;E</v>
      </c>
      <c r="B87" s="231">
        <v>0</v>
      </c>
      <c r="C87" s="27">
        <f>'IS Analysis Adjustments'!AZ20</f>
        <v>0</v>
      </c>
      <c r="D87" s="27">
        <f>'IS Analysis Adjustments'!BA20</f>
        <v>0</v>
      </c>
      <c r="E87" s="27">
        <f>'IS Analysis Adjustments'!BB20</f>
        <v>0</v>
      </c>
      <c r="F87" s="27">
        <f>'IS Analysis Adjustments'!BC20</f>
        <v>0</v>
      </c>
      <c r="G87" s="27">
        <f>'IS Analysis Adjustments'!BD20</f>
        <v>0</v>
      </c>
      <c r="H87" s="193"/>
      <c r="I87" s="63">
        <f t="shared" si="34"/>
        <v>0</v>
      </c>
      <c r="J87" s="63">
        <f t="shared" si="35"/>
        <v>0</v>
      </c>
      <c r="K87" s="63">
        <f t="shared" si="36"/>
        <v>0</v>
      </c>
      <c r="L87" s="63">
        <f t="shared" si="37"/>
        <v>0</v>
      </c>
      <c r="M87" s="63">
        <f t="shared" si="38"/>
        <v>0</v>
      </c>
      <c r="N87" s="63">
        <f t="shared" si="39"/>
        <v>0</v>
      </c>
      <c r="O87" s="682"/>
      <c r="P87" s="682"/>
      <c r="Q87" s="682"/>
      <c r="R87" s="682"/>
      <c r="S87" s="682"/>
      <c r="T87" s="682"/>
      <c r="U87" s="682"/>
      <c r="V87" s="682"/>
      <c r="W87" s="682"/>
      <c r="X87" s="682"/>
      <c r="Y87" s="682"/>
      <c r="Z87" s="682"/>
    </row>
    <row r="88" spans="1:26" s="31" customFormat="1" ht="16.899999999999999" customHeight="1" x14ac:dyDescent="0.2">
      <c r="A88" s="31" t="str">
        <f>'IS Analysis Adjustments'!A21</f>
        <v>Impairment loss on PP&amp;E</v>
      </c>
      <c r="B88" s="231">
        <v>0</v>
      </c>
      <c r="C88" s="27">
        <f>'IS Analysis Adjustments'!AZ21</f>
        <v>0</v>
      </c>
      <c r="D88" s="27">
        <f>'IS Analysis Adjustments'!BA21</f>
        <v>0</v>
      </c>
      <c r="E88" s="27">
        <f>'IS Analysis Adjustments'!BB21</f>
        <v>0</v>
      </c>
      <c r="F88" s="27">
        <f>'IS Analysis Adjustments'!BC21</f>
        <v>0</v>
      </c>
      <c r="G88" s="27">
        <f>'IS Analysis Adjustments'!BD21</f>
        <v>0</v>
      </c>
      <c r="H88" s="193"/>
      <c r="I88" s="63">
        <f t="shared" si="34"/>
        <v>0</v>
      </c>
      <c r="J88" s="63">
        <f t="shared" si="35"/>
        <v>0</v>
      </c>
      <c r="K88" s="63">
        <f t="shared" si="36"/>
        <v>0</v>
      </c>
      <c r="L88" s="63">
        <f t="shared" si="37"/>
        <v>0</v>
      </c>
      <c r="M88" s="63">
        <f t="shared" si="38"/>
        <v>0</v>
      </c>
      <c r="N88" s="63">
        <f t="shared" si="39"/>
        <v>0</v>
      </c>
      <c r="O88" s="682"/>
      <c r="P88" s="682"/>
      <c r="Q88" s="682"/>
      <c r="R88" s="682"/>
      <c r="S88" s="682"/>
      <c r="T88" s="682"/>
      <c r="U88" s="682"/>
      <c r="V88" s="682"/>
      <c r="W88" s="682"/>
      <c r="X88" s="682"/>
      <c r="Y88" s="682"/>
      <c r="Z88" s="682"/>
    </row>
    <row r="89" spans="1:26" s="31" customFormat="1" ht="16.899999999999999" customHeight="1" x14ac:dyDescent="0.2">
      <c r="A89" s="31" t="str">
        <f>'IS Analysis Adjustments'!A22</f>
        <v>Impairment loss on goodwill</v>
      </c>
      <c r="B89" s="231">
        <v>0</v>
      </c>
      <c r="C89" s="27">
        <f>'IS Analysis Adjustments'!AZ22</f>
        <v>0</v>
      </c>
      <c r="D89" s="27">
        <f>'IS Analysis Adjustments'!BA22</f>
        <v>0</v>
      </c>
      <c r="E89" s="27">
        <f>'IS Analysis Adjustments'!BB22</f>
        <v>0</v>
      </c>
      <c r="F89" s="27">
        <f>'IS Analysis Adjustments'!BC22</f>
        <v>0</v>
      </c>
      <c r="G89" s="27">
        <f>'IS Analysis Adjustments'!BD22</f>
        <v>0</v>
      </c>
      <c r="H89" s="193"/>
      <c r="I89" s="63">
        <f t="shared" si="34"/>
        <v>0</v>
      </c>
      <c r="J89" s="63">
        <f t="shared" si="35"/>
        <v>0</v>
      </c>
      <c r="K89" s="63">
        <f t="shared" si="36"/>
        <v>0</v>
      </c>
      <c r="L89" s="63">
        <f t="shared" si="37"/>
        <v>0</v>
      </c>
      <c r="M89" s="63">
        <f t="shared" si="38"/>
        <v>0</v>
      </c>
      <c r="N89" s="63">
        <f t="shared" si="39"/>
        <v>0</v>
      </c>
      <c r="O89" s="682"/>
      <c r="P89" s="682"/>
      <c r="Q89" s="682"/>
      <c r="R89" s="682"/>
      <c r="S89" s="682"/>
      <c r="T89" s="682"/>
      <c r="U89" s="682"/>
      <c r="V89" s="682"/>
      <c r="W89" s="682"/>
      <c r="X89" s="682"/>
      <c r="Y89" s="682"/>
      <c r="Z89" s="682"/>
    </row>
    <row r="90" spans="1:26" s="31" customFormat="1" ht="16.899999999999999" customHeight="1" x14ac:dyDescent="0.2">
      <c r="A90" s="31" t="str">
        <f>'IS Analysis Adjustments'!A23</f>
        <v>Impairment of other intangibles</v>
      </c>
      <c r="B90" s="231">
        <v>0</v>
      </c>
      <c r="C90" s="27">
        <f>'IS Analysis Adjustments'!AZ23</f>
        <v>0</v>
      </c>
      <c r="D90" s="27">
        <f>'IS Analysis Adjustments'!BA23</f>
        <v>0</v>
      </c>
      <c r="E90" s="27">
        <f>'IS Analysis Adjustments'!BB23</f>
        <v>0</v>
      </c>
      <c r="F90" s="27">
        <f>'IS Analysis Adjustments'!BC23</f>
        <v>0</v>
      </c>
      <c r="G90" s="27">
        <f>'IS Analysis Adjustments'!BD23</f>
        <v>0</v>
      </c>
      <c r="H90" s="193"/>
      <c r="I90" s="63">
        <f t="shared" si="34"/>
        <v>0</v>
      </c>
      <c r="J90" s="63">
        <f t="shared" si="35"/>
        <v>0</v>
      </c>
      <c r="K90" s="63">
        <f t="shared" si="36"/>
        <v>0</v>
      </c>
      <c r="L90" s="63">
        <f t="shared" si="37"/>
        <v>0</v>
      </c>
      <c r="M90" s="63">
        <f t="shared" si="38"/>
        <v>0</v>
      </c>
      <c r="N90" s="63">
        <f t="shared" si="39"/>
        <v>0</v>
      </c>
      <c r="O90" s="682"/>
      <c r="P90" s="682"/>
      <c r="Q90" s="682"/>
      <c r="R90" s="682"/>
      <c r="S90" s="682"/>
      <c r="T90" s="682"/>
      <c r="U90" s="682"/>
      <c r="V90" s="682"/>
      <c r="W90" s="682"/>
      <c r="X90" s="682"/>
      <c r="Y90" s="682"/>
      <c r="Z90" s="682"/>
    </row>
    <row r="91" spans="1:26" s="39" customFormat="1" ht="16.899999999999999" customHeight="1" x14ac:dyDescent="0.2">
      <c r="A91" s="39" t="str">
        <f>'IS Analysis Adjustments'!A24</f>
        <v>Restructuring charge</v>
      </c>
      <c r="B91" s="234">
        <v>0</v>
      </c>
      <c r="C91" s="40">
        <f>'IS Analysis Adjustments'!AZ24</f>
        <v>0</v>
      </c>
      <c r="D91" s="40">
        <f>'IS Analysis Adjustments'!BA24</f>
        <v>0</v>
      </c>
      <c r="E91" s="40">
        <f>'IS Analysis Adjustments'!BB24</f>
        <v>0</v>
      </c>
      <c r="F91" s="40">
        <f>'IS Analysis Adjustments'!BC24</f>
        <v>0</v>
      </c>
      <c r="G91" s="40">
        <f>'IS Analysis Adjustments'!BD24</f>
        <v>0</v>
      </c>
      <c r="H91" s="193"/>
      <c r="I91" s="263">
        <f t="shared" si="34"/>
        <v>0</v>
      </c>
      <c r="J91" s="263">
        <f t="shared" si="35"/>
        <v>0</v>
      </c>
      <c r="K91" s="263">
        <f t="shared" si="36"/>
        <v>0</v>
      </c>
      <c r="L91" s="263">
        <f t="shared" si="37"/>
        <v>0</v>
      </c>
      <c r="M91" s="263">
        <f t="shared" si="38"/>
        <v>0</v>
      </c>
      <c r="N91" s="263">
        <f t="shared" si="39"/>
        <v>0</v>
      </c>
      <c r="O91" s="685"/>
      <c r="P91" s="685"/>
      <c r="Q91" s="685"/>
      <c r="R91" s="685"/>
      <c r="S91" s="685"/>
      <c r="T91" s="685"/>
      <c r="U91" s="685"/>
      <c r="V91" s="685"/>
      <c r="W91" s="685"/>
      <c r="X91" s="685"/>
      <c r="Y91" s="685"/>
      <c r="Z91" s="685"/>
    </row>
    <row r="92" spans="1:26" s="14" customFormat="1" ht="16.899999999999999" customHeight="1" x14ac:dyDescent="0.2">
      <c r="A92" s="115" t="str">
        <f>'IS Analysis Adjustments'!A25</f>
        <v>Total other income (expense)</v>
      </c>
      <c r="B92" s="256">
        <f t="shared" ref="B92:G92" si="40">SUM(B83:B91)</f>
        <v>-127</v>
      </c>
      <c r="C92" s="256">
        <f t="shared" si="40"/>
        <v>-180</v>
      </c>
      <c r="D92" s="256">
        <f t="shared" si="40"/>
        <v>-209</v>
      </c>
      <c r="E92" s="256">
        <f t="shared" si="40"/>
        <v>-238</v>
      </c>
      <c r="F92" s="256">
        <f t="shared" si="40"/>
        <v>-232</v>
      </c>
      <c r="G92" s="256">
        <f t="shared" si="40"/>
        <v>-240</v>
      </c>
      <c r="H92" s="193"/>
      <c r="I92" s="64">
        <f t="shared" si="34"/>
        <v>-1.3092783505154639E-2</v>
      </c>
      <c r="J92" s="64">
        <f t="shared" si="35"/>
        <v>-1.6548680702399558E-2</v>
      </c>
      <c r="K92" s="64">
        <f t="shared" si="36"/>
        <v>-1.7204478103391506E-2</v>
      </c>
      <c r="L92" s="64">
        <f t="shared" si="37"/>
        <v>-1.8979266347687401E-2</v>
      </c>
      <c r="M92" s="64">
        <f t="shared" si="38"/>
        <v>-1.7177550718199319E-2</v>
      </c>
      <c r="N92" s="64">
        <f t="shared" si="39"/>
        <v>-1.6697975370486329E-2</v>
      </c>
      <c r="O92" s="686"/>
      <c r="P92" s="686"/>
      <c r="Q92" s="686"/>
      <c r="R92" s="686"/>
      <c r="S92" s="686"/>
      <c r="T92" s="686"/>
      <c r="U92" s="686"/>
      <c r="V92" s="686"/>
      <c r="W92" s="686"/>
      <c r="X92" s="686"/>
      <c r="Y92" s="686"/>
      <c r="Z92" s="686"/>
    </row>
    <row r="93" spans="1:26" s="49" customFormat="1" ht="16.899999999999999" customHeight="1" x14ac:dyDescent="0.2">
      <c r="A93" s="89" t="str">
        <f>'IS Analysis Adjustments'!A26</f>
        <v>Income from cont. oper's before taxes</v>
      </c>
      <c r="B93" s="249">
        <f t="shared" ref="B93:G93" si="41">B81+B92</f>
        <v>991</v>
      </c>
      <c r="C93" s="249">
        <f t="shared" si="41"/>
        <v>1097</v>
      </c>
      <c r="D93" s="249">
        <f t="shared" si="41"/>
        <v>1105</v>
      </c>
      <c r="E93" s="249">
        <f t="shared" si="41"/>
        <v>1105</v>
      </c>
      <c r="F93" s="249">
        <f t="shared" si="41"/>
        <v>1050</v>
      </c>
      <c r="G93" s="249">
        <f t="shared" si="41"/>
        <v>750</v>
      </c>
      <c r="H93" s="193"/>
      <c r="I93" s="77">
        <f t="shared" si="34"/>
        <v>0.10216494845360825</v>
      </c>
      <c r="J93" s="77">
        <f t="shared" si="35"/>
        <v>0.10085501516962397</v>
      </c>
      <c r="K93" s="77">
        <f t="shared" si="36"/>
        <v>9.0961475139940726E-2</v>
      </c>
      <c r="L93" s="77">
        <f t="shared" si="37"/>
        <v>8.8118022328548651E-2</v>
      </c>
      <c r="M93" s="77">
        <f t="shared" si="38"/>
        <v>7.7743225233229671E-2</v>
      </c>
      <c r="N93" s="77">
        <f t="shared" si="39"/>
        <v>5.2181173032769777E-2</v>
      </c>
      <c r="O93" s="714"/>
      <c r="P93" s="714"/>
      <c r="Q93" s="714"/>
      <c r="R93" s="714"/>
      <c r="S93" s="714"/>
      <c r="T93" s="714"/>
      <c r="U93" s="714"/>
      <c r="V93" s="714"/>
      <c r="W93" s="714"/>
      <c r="X93" s="714"/>
      <c r="Y93" s="714"/>
      <c r="Z93" s="714"/>
    </row>
    <row r="94" spans="1:26" ht="16.899999999999999" customHeight="1" x14ac:dyDescent="0.2">
      <c r="A94" s="34" t="str">
        <f>'IS Analysis Adjustments'!A27</f>
        <v>Taxes on income from continuing operations</v>
      </c>
      <c r="B94" s="236">
        <v>378</v>
      </c>
      <c r="C94" s="259">
        <f>'IS Analysis Adjustments'!AZ27</f>
        <v>427</v>
      </c>
      <c r="D94" s="259">
        <f>'IS Analysis Adjustments'!BA27</f>
        <v>419</v>
      </c>
      <c r="E94" s="259">
        <f>'IS Analysis Adjustments'!BB27</f>
        <v>423</v>
      </c>
      <c r="F94" s="259">
        <f>'IS Analysis Adjustments'!BC27</f>
        <v>412</v>
      </c>
      <c r="G94" s="259">
        <f>'IS Analysis Adjustments'!BD27</f>
        <v>289</v>
      </c>
      <c r="I94" s="64">
        <f t="shared" si="34"/>
        <v>3.8969072164948451E-2</v>
      </c>
      <c r="J94" s="64">
        <f t="shared" si="35"/>
        <v>3.9257148110692287E-2</v>
      </c>
      <c r="K94" s="64">
        <f t="shared" si="36"/>
        <v>3.449127428383273E-2</v>
      </c>
      <c r="L94" s="64">
        <f t="shared" si="37"/>
        <v>3.373205741626794E-2</v>
      </c>
      <c r="M94" s="64">
        <f t="shared" si="38"/>
        <v>3.050496075818155E-2</v>
      </c>
      <c r="N94" s="64">
        <f t="shared" si="39"/>
        <v>2.0107145341960619E-2</v>
      </c>
      <c r="O94" s="1234"/>
    </row>
    <row r="95" spans="1:26" s="49" customFormat="1" ht="16.899999999999999" customHeight="1" x14ac:dyDescent="0.2">
      <c r="A95" s="130" t="str">
        <f>'IS Analysis Adjustments'!A28</f>
        <v xml:space="preserve"> Income from contin oper incl noncontrol int's</v>
      </c>
      <c r="B95" s="249">
        <f t="shared" ref="B95:G95" si="42">B93-B94</f>
        <v>613</v>
      </c>
      <c r="C95" s="249">
        <f t="shared" si="42"/>
        <v>670</v>
      </c>
      <c r="D95" s="249">
        <f t="shared" si="42"/>
        <v>686</v>
      </c>
      <c r="E95" s="249">
        <f t="shared" si="42"/>
        <v>682</v>
      </c>
      <c r="F95" s="249">
        <f t="shared" si="42"/>
        <v>638</v>
      </c>
      <c r="G95" s="249">
        <f t="shared" si="42"/>
        <v>461</v>
      </c>
      <c r="H95" s="193"/>
      <c r="I95" s="77">
        <f t="shared" si="34"/>
        <v>6.3195876288659789E-2</v>
      </c>
      <c r="J95" s="77">
        <f t="shared" si="35"/>
        <v>6.1597867058931693E-2</v>
      </c>
      <c r="K95" s="77">
        <f t="shared" si="36"/>
        <v>5.6470200856108002E-2</v>
      </c>
      <c r="L95" s="77">
        <f t="shared" si="37"/>
        <v>5.4385964912280704E-2</v>
      </c>
      <c r="M95" s="77">
        <f t="shared" si="38"/>
        <v>4.7238264475048128E-2</v>
      </c>
      <c r="N95" s="77">
        <f t="shared" si="39"/>
        <v>3.2074027690809158E-2</v>
      </c>
      <c r="O95" s="714"/>
      <c r="P95" s="714"/>
      <c r="Q95" s="714"/>
      <c r="R95" s="714"/>
      <c r="S95" s="714"/>
      <c r="T95" s="714"/>
      <c r="U95" s="714"/>
      <c r="V95" s="714"/>
      <c r="W95" s="714"/>
      <c r="X95" s="714"/>
      <c r="Y95" s="714"/>
      <c r="Z95" s="714"/>
    </row>
    <row r="96" spans="1:26" s="13" customFormat="1" ht="16.899999999999999" customHeight="1" x14ac:dyDescent="0.2">
      <c r="A96" s="39" t="str">
        <f>'IS Analysis Adjustments'!A29</f>
        <v>Less: Income attrib to noncontrol interests</v>
      </c>
      <c r="B96" s="234">
        <v>0</v>
      </c>
      <c r="C96" s="40">
        <f>'IS Analysis Adjustments'!AZ29</f>
        <v>0</v>
      </c>
      <c r="D96" s="40">
        <f>'IS Analysis Adjustments'!BA29</f>
        <v>0</v>
      </c>
      <c r="E96" s="40">
        <f>'IS Analysis Adjustments'!BB29</f>
        <v>0</v>
      </c>
      <c r="F96" s="40">
        <f>'IS Analysis Adjustments'!BC29</f>
        <v>0</v>
      </c>
      <c r="G96" s="40">
        <f>'IS Analysis Adjustments'!BD29</f>
        <v>0</v>
      </c>
      <c r="H96" s="193"/>
      <c r="I96" s="64">
        <f t="shared" si="34"/>
        <v>0</v>
      </c>
      <c r="J96" s="64">
        <f t="shared" si="35"/>
        <v>0</v>
      </c>
      <c r="K96" s="64">
        <f t="shared" si="36"/>
        <v>0</v>
      </c>
      <c r="L96" s="64">
        <f t="shared" si="37"/>
        <v>0</v>
      </c>
      <c r="M96" s="64">
        <f t="shared" si="38"/>
        <v>0</v>
      </c>
      <c r="N96" s="64">
        <f t="shared" si="39"/>
        <v>0</v>
      </c>
      <c r="O96" s="685"/>
      <c r="P96" s="685"/>
      <c r="Q96" s="685"/>
      <c r="R96" s="685"/>
      <c r="S96" s="685"/>
      <c r="T96" s="685"/>
      <c r="U96" s="685"/>
      <c r="V96" s="685"/>
      <c r="W96" s="685"/>
      <c r="X96" s="685"/>
      <c r="Y96" s="685"/>
      <c r="Z96" s="685"/>
    </row>
    <row r="97" spans="1:26" s="16" customFormat="1" ht="16.899999999999999" customHeight="1" thickBot="1" x14ac:dyDescent="0.25">
      <c r="A97" s="467" t="str">
        <f>'IS Analysis Adjustments'!A30</f>
        <v xml:space="preserve"> Income from continuing operations</v>
      </c>
      <c r="B97" s="29">
        <f t="shared" ref="B97:G97" si="43">B95-B96</f>
        <v>613</v>
      </c>
      <c r="C97" s="29">
        <f t="shared" si="43"/>
        <v>670</v>
      </c>
      <c r="D97" s="29">
        <f t="shared" si="43"/>
        <v>686</v>
      </c>
      <c r="E97" s="29">
        <f t="shared" si="43"/>
        <v>682</v>
      </c>
      <c r="F97" s="29">
        <f t="shared" si="43"/>
        <v>638</v>
      </c>
      <c r="G97" s="29">
        <f t="shared" si="43"/>
        <v>461</v>
      </c>
      <c r="H97" s="193"/>
      <c r="I97" s="254">
        <f t="shared" si="34"/>
        <v>6.3195876288659789E-2</v>
      </c>
      <c r="J97" s="254">
        <f t="shared" si="35"/>
        <v>6.1597867058931693E-2</v>
      </c>
      <c r="K97" s="254">
        <f t="shared" si="36"/>
        <v>5.6470200856108002E-2</v>
      </c>
      <c r="L97" s="254">
        <f t="shared" si="37"/>
        <v>5.4385964912280704E-2</v>
      </c>
      <c r="M97" s="254">
        <f t="shared" si="38"/>
        <v>4.7238264475048128E-2</v>
      </c>
      <c r="N97" s="254">
        <f t="shared" si="39"/>
        <v>3.2074027690809158E-2</v>
      </c>
      <c r="O97" s="687"/>
      <c r="P97" s="687"/>
      <c r="Q97" s="687"/>
      <c r="R97" s="687"/>
      <c r="S97" s="687"/>
      <c r="T97" s="687"/>
      <c r="U97" s="687"/>
      <c r="V97" s="687"/>
      <c r="W97" s="687"/>
      <c r="X97" s="687"/>
      <c r="Y97" s="687"/>
      <c r="Z97" s="687"/>
    </row>
    <row r="98" spans="1:26" s="677" customFormat="1" ht="9" customHeight="1" x14ac:dyDescent="0.2">
      <c r="I98" s="1072"/>
      <c r="J98" s="1122"/>
      <c r="K98" s="1122"/>
      <c r="L98" s="1122"/>
      <c r="M98" s="1122"/>
      <c r="N98" s="1122"/>
    </row>
    <row r="99" spans="1:26" s="677" customFormat="1" ht="16.5" customHeight="1" x14ac:dyDescent="0.2">
      <c r="I99" s="1072"/>
      <c r="J99" s="1122"/>
      <c r="K99" s="1122"/>
      <c r="L99" s="1122"/>
      <c r="M99" s="1122"/>
      <c r="N99" s="1122"/>
    </row>
    <row r="100" spans="1:26" s="777" customFormat="1" ht="16.5" customHeight="1" x14ac:dyDescent="0.2">
      <c r="A100" s="1127" t="s">
        <v>522</v>
      </c>
      <c r="B100" s="1123"/>
      <c r="C100" s="1124"/>
      <c r="D100" s="1124"/>
      <c r="E100" s="1124"/>
      <c r="F100" s="1124"/>
      <c r="G100" s="1124"/>
      <c r="H100" s="677"/>
      <c r="I100" s="1125"/>
      <c r="J100" s="1126"/>
      <c r="K100" s="1126"/>
      <c r="L100" s="1126"/>
      <c r="M100" s="1126"/>
      <c r="N100" s="1126"/>
    </row>
    <row r="101" spans="1:26" ht="16.899999999999999" customHeight="1" x14ac:dyDescent="0.2">
      <c r="A101" s="6" t="s">
        <v>241</v>
      </c>
      <c r="B101" s="26" t="s">
        <v>667</v>
      </c>
      <c r="C101" s="248"/>
      <c r="D101" s="248"/>
      <c r="E101" s="248"/>
      <c r="F101" s="248"/>
      <c r="G101" s="248"/>
      <c r="I101" s="1000"/>
      <c r="J101" s="1000"/>
      <c r="K101" s="1000"/>
      <c r="L101" s="1000"/>
      <c r="M101" s="1000"/>
      <c r="N101" s="1000"/>
      <c r="O101" s="1234"/>
    </row>
    <row r="102" spans="1:26" ht="16.899999999999999" customHeight="1" x14ac:dyDescent="0.2">
      <c r="A102" s="1235"/>
      <c r="B102" s="62">
        <f t="shared" ref="B102:G102" si="44">B9</f>
        <v>2010</v>
      </c>
      <c r="C102" s="62">
        <f t="shared" si="44"/>
        <v>2011</v>
      </c>
      <c r="D102" s="62">
        <f t="shared" si="44"/>
        <v>2012</v>
      </c>
      <c r="E102" s="62">
        <f t="shared" si="44"/>
        <v>2013</v>
      </c>
      <c r="F102" s="62">
        <f t="shared" si="44"/>
        <v>2014</v>
      </c>
      <c r="G102" s="62">
        <f t="shared" si="44"/>
        <v>2015</v>
      </c>
      <c r="I102" s="1000"/>
      <c r="J102" s="1000"/>
      <c r="K102" s="1000"/>
      <c r="L102" s="1000"/>
      <c r="M102" s="1000"/>
      <c r="N102" s="1000"/>
      <c r="O102" s="1234"/>
    </row>
    <row r="103" spans="1:26" s="18" customFormat="1" ht="16.5" customHeight="1" x14ac:dyDescent="0.2">
      <c r="A103" s="5" t="s">
        <v>12</v>
      </c>
      <c r="B103" s="677"/>
      <c r="C103" s="1234"/>
      <c r="D103" s="1234"/>
      <c r="E103" s="1234"/>
      <c r="F103" s="1234"/>
      <c r="G103" s="1234"/>
      <c r="H103" s="207"/>
      <c r="I103" s="1000"/>
      <c r="J103" s="1000"/>
      <c r="K103" s="1000"/>
      <c r="L103" s="1000"/>
      <c r="M103" s="1000"/>
      <c r="N103" s="1000"/>
      <c r="O103" s="1234"/>
      <c r="P103" s="1234"/>
      <c r="Q103" s="1234"/>
      <c r="R103" s="1234"/>
      <c r="S103" s="1234"/>
      <c r="T103" s="1234"/>
      <c r="U103" s="1234"/>
      <c r="V103" s="1234"/>
      <c r="W103" s="1234"/>
      <c r="X103" s="1234"/>
      <c r="Y103" s="1234"/>
      <c r="Z103" s="1234"/>
    </row>
    <row r="104" spans="1:26" s="10" customFormat="1" ht="16.5" customHeight="1" x14ac:dyDescent="0.2">
      <c r="A104" s="32" t="s">
        <v>512</v>
      </c>
      <c r="B104" s="231">
        <v>613</v>
      </c>
      <c r="C104" s="32">
        <f>'IS Analysis Adjustments'!B28</f>
        <v>683</v>
      </c>
      <c r="D104" s="32">
        <f>'IS Analysis Adjustments'!L28</f>
        <v>735</v>
      </c>
      <c r="E104" s="32">
        <f>'IS Analysis Adjustments'!V28</f>
        <v>734</v>
      </c>
      <c r="F104" s="32">
        <f>'IS Analysis Adjustments'!AF28</f>
        <v>720</v>
      </c>
      <c r="G104" s="32">
        <f>'IS Analysis Adjustments'!AP28</f>
        <v>600</v>
      </c>
      <c r="H104" s="193"/>
      <c r="I104" s="1001"/>
      <c r="J104" s="1001"/>
      <c r="K104" s="1001"/>
      <c r="L104" s="1001"/>
      <c r="M104" s="1001"/>
      <c r="N104" s="1001"/>
      <c r="O104" s="682"/>
      <c r="P104" s="682"/>
      <c r="Q104" s="682"/>
      <c r="R104" s="682"/>
      <c r="S104" s="682"/>
      <c r="T104" s="682"/>
      <c r="U104" s="682"/>
      <c r="V104" s="682"/>
      <c r="W104" s="682"/>
      <c r="X104" s="682"/>
      <c r="Y104" s="682"/>
      <c r="Z104" s="682"/>
    </row>
    <row r="105" spans="1:26" s="12" customFormat="1" ht="16.5" customHeight="1" x14ac:dyDescent="0.2">
      <c r="A105" s="12" t="s">
        <v>724</v>
      </c>
      <c r="B105" s="96"/>
      <c r="C105" s="87"/>
      <c r="D105" s="87"/>
      <c r="E105" s="87"/>
      <c r="F105" s="87"/>
      <c r="G105" s="87"/>
      <c r="H105" s="207"/>
      <c r="I105" s="1001"/>
      <c r="J105" s="1001"/>
      <c r="K105" s="1001"/>
      <c r="L105" s="1001"/>
      <c r="M105" s="1001"/>
      <c r="N105" s="1001"/>
      <c r="O105" s="682"/>
      <c r="P105" s="682"/>
      <c r="Q105" s="682"/>
      <c r="R105" s="682"/>
      <c r="S105" s="682"/>
      <c r="T105" s="682"/>
      <c r="U105" s="682"/>
      <c r="V105" s="682"/>
      <c r="W105" s="682"/>
      <c r="X105" s="682"/>
      <c r="Y105" s="682"/>
      <c r="Z105" s="682"/>
    </row>
    <row r="106" spans="1:26" s="10" customFormat="1" ht="16.5" customHeight="1" x14ac:dyDescent="0.2">
      <c r="A106" s="32" t="s">
        <v>229</v>
      </c>
      <c r="B106" s="231">
        <f>327-54</f>
        <v>273</v>
      </c>
      <c r="C106" s="32">
        <f>'IS Analysis Adjustments'!B11-46</f>
        <v>325</v>
      </c>
      <c r="D106" s="32">
        <f>'IS Analysis Adjustments'!L11-63</f>
        <v>366</v>
      </c>
      <c r="E106" s="32">
        <f>'IS Analysis Adjustments'!V11-58</f>
        <v>396</v>
      </c>
      <c r="F106" s="32">
        <f>'IS Analysis Adjustments'!AF11-76</f>
        <v>432</v>
      </c>
      <c r="G106" s="32">
        <f>'IS Analysis Adjustments'!AP11-79</f>
        <v>497</v>
      </c>
      <c r="H106" s="193"/>
      <c r="I106" s="1001"/>
      <c r="J106" s="1001"/>
      <c r="K106" s="1001"/>
      <c r="L106" s="1001"/>
      <c r="M106" s="1001"/>
      <c r="N106" s="1001"/>
      <c r="O106" s="682"/>
      <c r="P106" s="682"/>
      <c r="Q106" s="682"/>
      <c r="R106" s="682"/>
      <c r="S106" s="682"/>
      <c r="T106" s="682"/>
      <c r="U106" s="682"/>
      <c r="V106" s="682"/>
      <c r="W106" s="682"/>
      <c r="X106" s="682"/>
      <c r="Y106" s="682"/>
      <c r="Z106" s="682"/>
    </row>
    <row r="107" spans="1:26" s="10" customFormat="1" ht="16.5" customHeight="1" x14ac:dyDescent="0.2">
      <c r="A107" s="32" t="s">
        <v>1058</v>
      </c>
      <c r="B107" s="231">
        <f>42+15-16</f>
        <v>41</v>
      </c>
      <c r="C107" s="231">
        <f>50+20-22</f>
        <v>48</v>
      </c>
      <c r="D107" s="231">
        <f>53+23-24</f>
        <v>52</v>
      </c>
      <c r="E107" s="231">
        <f>58+21-23</f>
        <v>56</v>
      </c>
      <c r="F107" s="231">
        <f>68+20-22</f>
        <v>66</v>
      </c>
      <c r="G107" s="231">
        <f>70+15-15</f>
        <v>70</v>
      </c>
      <c r="H107" s="193"/>
      <c r="I107" s="1001"/>
      <c r="J107" s="1001"/>
      <c r="K107" s="1001"/>
      <c r="L107" s="1001"/>
      <c r="M107" s="1001"/>
      <c r="N107" s="1001"/>
      <c r="O107" s="682"/>
      <c r="P107" s="682"/>
      <c r="Q107" s="682"/>
      <c r="R107" s="682"/>
      <c r="S107" s="682"/>
      <c r="T107" s="682"/>
      <c r="U107" s="682"/>
      <c r="V107" s="682"/>
      <c r="W107" s="682"/>
      <c r="X107" s="682"/>
      <c r="Y107" s="682"/>
      <c r="Z107" s="682"/>
    </row>
    <row r="108" spans="1:26" s="10" customFormat="1" ht="16.5" customHeight="1" x14ac:dyDescent="0.2">
      <c r="A108" s="231" t="s">
        <v>168</v>
      </c>
      <c r="B108" s="231">
        <v>0</v>
      </c>
      <c r="C108" s="231">
        <v>0</v>
      </c>
      <c r="D108" s="231">
        <v>0</v>
      </c>
      <c r="E108" s="231">
        <v>0</v>
      </c>
      <c r="F108" s="231">
        <v>0</v>
      </c>
      <c r="G108" s="231">
        <v>0</v>
      </c>
      <c r="H108" s="193"/>
      <c r="I108" s="1001"/>
      <c r="J108" s="1001"/>
      <c r="K108" s="1001"/>
      <c r="L108" s="1001"/>
      <c r="M108" s="1001"/>
      <c r="N108" s="1001"/>
      <c r="O108" s="682"/>
      <c r="P108" s="682"/>
      <c r="Q108" s="682"/>
      <c r="R108" s="682"/>
      <c r="S108" s="682"/>
      <c r="T108" s="682"/>
      <c r="U108" s="682"/>
      <c r="V108" s="682"/>
      <c r="W108" s="682"/>
      <c r="X108" s="682"/>
      <c r="Y108" s="682"/>
      <c r="Z108" s="682"/>
    </row>
    <row r="109" spans="1:26" s="10" customFormat="1" ht="16.5" customHeight="1" x14ac:dyDescent="0.2">
      <c r="A109" s="231" t="s">
        <v>551</v>
      </c>
      <c r="B109" s="231">
        <v>0</v>
      </c>
      <c r="C109" s="231">
        <v>0</v>
      </c>
      <c r="D109" s="231">
        <v>0</v>
      </c>
      <c r="E109" s="231">
        <v>0</v>
      </c>
      <c r="F109" s="231">
        <v>0</v>
      </c>
      <c r="G109" s="231">
        <v>0</v>
      </c>
      <c r="H109" s="193"/>
      <c r="I109" s="1001"/>
      <c r="J109" s="1001"/>
      <c r="K109" s="1001"/>
      <c r="L109" s="1001"/>
      <c r="M109" s="1001"/>
      <c r="N109" s="1001"/>
      <c r="O109" s="682"/>
      <c r="P109" s="682"/>
      <c r="Q109" s="682"/>
      <c r="R109" s="682"/>
      <c r="S109" s="682"/>
      <c r="T109" s="682"/>
      <c r="U109" s="682"/>
      <c r="V109" s="682"/>
      <c r="W109" s="682"/>
      <c r="X109" s="682"/>
      <c r="Y109" s="682"/>
      <c r="Z109" s="682"/>
    </row>
    <row r="110" spans="1:26" s="10" customFormat="1" ht="16.5" customHeight="1" x14ac:dyDescent="0.2">
      <c r="A110" s="231" t="s">
        <v>545</v>
      </c>
      <c r="B110" s="231">
        <v>0</v>
      </c>
      <c r="C110" s="231">
        <v>0</v>
      </c>
      <c r="D110" s="231">
        <v>0</v>
      </c>
      <c r="E110" s="231">
        <v>0</v>
      </c>
      <c r="F110" s="231">
        <v>0</v>
      </c>
      <c r="G110" s="231">
        <v>0</v>
      </c>
      <c r="H110" s="193"/>
      <c r="I110" s="1001"/>
      <c r="J110" s="1001"/>
      <c r="K110" s="1001"/>
      <c r="L110" s="1001"/>
      <c r="M110" s="1001"/>
      <c r="N110" s="1001"/>
      <c r="O110" s="682"/>
      <c r="P110" s="682"/>
      <c r="Q110" s="682"/>
      <c r="R110" s="682"/>
      <c r="S110" s="682"/>
      <c r="T110" s="682"/>
      <c r="U110" s="682"/>
      <c r="V110" s="682"/>
      <c r="W110" s="682"/>
      <c r="X110" s="682"/>
      <c r="Y110" s="682"/>
      <c r="Z110" s="682"/>
    </row>
    <row r="111" spans="1:26" s="10" customFormat="1" ht="16.5" customHeight="1" x14ac:dyDescent="0.2">
      <c r="A111" s="231" t="s">
        <v>991</v>
      </c>
      <c r="B111" s="231">
        <v>0</v>
      </c>
      <c r="C111" s="231">
        <v>0</v>
      </c>
      <c r="D111" s="231">
        <v>0</v>
      </c>
      <c r="E111" s="231">
        <v>0</v>
      </c>
      <c r="F111" s="231">
        <v>0</v>
      </c>
      <c r="G111" s="231">
        <v>0</v>
      </c>
      <c r="H111" s="193"/>
      <c r="I111" s="1001"/>
      <c r="J111" s="1001"/>
      <c r="K111" s="1001"/>
      <c r="L111" s="1001"/>
      <c r="M111" s="1001"/>
      <c r="N111" s="1001"/>
      <c r="O111" s="682"/>
      <c r="P111" s="682"/>
      <c r="Q111" s="682"/>
      <c r="R111" s="682"/>
      <c r="S111" s="682"/>
      <c r="T111" s="682"/>
      <c r="U111" s="682"/>
      <c r="V111" s="682"/>
      <c r="W111" s="682"/>
      <c r="X111" s="682"/>
      <c r="Y111" s="682"/>
      <c r="Z111" s="682"/>
    </row>
    <row r="112" spans="1:26" s="10" customFormat="1" ht="16.5" customHeight="1" x14ac:dyDescent="0.2">
      <c r="A112" s="231" t="s">
        <v>1089</v>
      </c>
      <c r="B112" s="231">
        <v>149</v>
      </c>
      <c r="C112" s="231">
        <v>101</v>
      </c>
      <c r="D112" s="231">
        <v>56</v>
      </c>
      <c r="E112" s="231">
        <v>52</v>
      </c>
      <c r="F112" s="231">
        <v>41</v>
      </c>
      <c r="G112" s="231">
        <v>26</v>
      </c>
      <c r="H112" s="193"/>
      <c r="I112" s="1001"/>
      <c r="J112" s="1001"/>
      <c r="K112" s="1001"/>
      <c r="L112" s="1001"/>
      <c r="M112" s="1001"/>
      <c r="N112" s="1001"/>
      <c r="O112" s="682"/>
      <c r="P112" s="682"/>
      <c r="Q112" s="682"/>
      <c r="R112" s="682"/>
      <c r="S112" s="682"/>
      <c r="T112" s="682"/>
      <c r="U112" s="682"/>
      <c r="V112" s="682"/>
      <c r="W112" s="682"/>
      <c r="X112" s="682"/>
      <c r="Y112" s="682"/>
      <c r="Z112" s="682"/>
    </row>
    <row r="113" spans="1:26" s="10" customFormat="1" ht="16.5" customHeight="1" x14ac:dyDescent="0.2">
      <c r="A113" s="231" t="s">
        <v>170</v>
      </c>
      <c r="B113" s="231">
        <v>0</v>
      </c>
      <c r="C113" s="231">
        <v>0</v>
      </c>
      <c r="D113" s="231">
        <v>0</v>
      </c>
      <c r="E113" s="231">
        <v>0</v>
      </c>
      <c r="F113" s="231">
        <v>0</v>
      </c>
      <c r="G113" s="231">
        <v>0</v>
      </c>
      <c r="H113" s="193"/>
      <c r="I113" s="1001"/>
      <c r="J113" s="1001"/>
      <c r="K113" s="1001"/>
      <c r="L113" s="1001"/>
      <c r="M113" s="1001"/>
      <c r="N113" s="1001"/>
      <c r="O113" s="682"/>
      <c r="P113" s="682"/>
      <c r="Q113" s="682"/>
      <c r="R113" s="682"/>
      <c r="S113" s="682"/>
      <c r="T113" s="682"/>
      <c r="U113" s="682"/>
      <c r="V113" s="682"/>
      <c r="W113" s="682"/>
      <c r="X113" s="682"/>
      <c r="Y113" s="682"/>
      <c r="Z113" s="682"/>
    </row>
    <row r="114" spans="1:26" s="10" customFormat="1" ht="16.5" customHeight="1" x14ac:dyDescent="0.2">
      <c r="A114" s="231" t="s">
        <v>31</v>
      </c>
      <c r="B114" s="231">
        <v>0</v>
      </c>
      <c r="C114" s="231">
        <v>0</v>
      </c>
      <c r="D114" s="231">
        <v>0</v>
      </c>
      <c r="E114" s="231">
        <v>0</v>
      </c>
      <c r="F114" s="231">
        <v>0</v>
      </c>
      <c r="G114" s="231">
        <v>0</v>
      </c>
      <c r="H114" s="193"/>
      <c r="I114" s="1001"/>
      <c r="J114" s="1001"/>
      <c r="K114" s="1001"/>
      <c r="L114" s="1001"/>
      <c r="M114" s="1001"/>
      <c r="N114" s="1001"/>
      <c r="O114" s="682"/>
      <c r="P114" s="682"/>
      <c r="Q114" s="682"/>
      <c r="R114" s="682"/>
      <c r="S114" s="682"/>
      <c r="T114" s="682"/>
      <c r="U114" s="682"/>
      <c r="V114" s="682"/>
      <c r="W114" s="682"/>
      <c r="X114" s="682"/>
      <c r="Y114" s="682"/>
      <c r="Z114" s="682"/>
    </row>
    <row r="115" spans="1:26" s="10" customFormat="1" ht="16.5" customHeight="1" x14ac:dyDescent="0.2">
      <c r="A115" s="231" t="s">
        <v>32</v>
      </c>
      <c r="B115" s="231">
        <v>0</v>
      </c>
      <c r="C115" s="231">
        <v>0</v>
      </c>
      <c r="D115" s="231">
        <v>0</v>
      </c>
      <c r="E115" s="231">
        <v>0</v>
      </c>
      <c r="F115" s="231">
        <v>0</v>
      </c>
      <c r="G115" s="231">
        <v>0</v>
      </c>
      <c r="H115" s="193"/>
      <c r="I115" s="1002"/>
      <c r="J115" s="1002"/>
      <c r="K115" s="1002"/>
      <c r="L115" s="1002"/>
      <c r="M115" s="1002"/>
      <c r="N115" s="1001"/>
      <c r="O115" s="682"/>
      <c r="P115" s="682"/>
      <c r="Q115" s="682"/>
      <c r="R115" s="682"/>
      <c r="S115" s="682"/>
      <c r="T115" s="682"/>
      <c r="U115" s="682"/>
      <c r="V115" s="682"/>
      <c r="W115" s="682"/>
      <c r="X115" s="682"/>
      <c r="Y115" s="682"/>
      <c r="Z115" s="682"/>
    </row>
    <row r="116" spans="1:26" s="10" customFormat="1" ht="16.5" customHeight="1" x14ac:dyDescent="0.2">
      <c r="A116" s="78" t="s">
        <v>90</v>
      </c>
      <c r="B116" s="718"/>
      <c r="C116" s="718"/>
      <c r="D116" s="718"/>
      <c r="E116" s="718"/>
      <c r="F116" s="718"/>
      <c r="G116" s="718"/>
      <c r="H116" s="193"/>
      <c r="I116" s="1001"/>
      <c r="J116" s="1001"/>
      <c r="K116" s="1001"/>
      <c r="L116" s="1001"/>
      <c r="M116" s="1001"/>
      <c r="N116" s="1001"/>
      <c r="O116" s="682"/>
      <c r="P116" s="682"/>
      <c r="Q116" s="682"/>
      <c r="R116" s="682"/>
      <c r="S116" s="682"/>
      <c r="T116" s="682"/>
      <c r="U116" s="682"/>
      <c r="V116" s="682"/>
      <c r="W116" s="682"/>
      <c r="X116" s="682"/>
      <c r="Y116" s="682"/>
      <c r="Z116" s="682"/>
    </row>
    <row r="117" spans="1:26" s="10" customFormat="1" ht="16.5" customHeight="1" x14ac:dyDescent="0.2">
      <c r="A117" s="231" t="s">
        <v>219</v>
      </c>
      <c r="B117" s="231">
        <v>-74</v>
      </c>
      <c r="C117" s="231">
        <v>-98</v>
      </c>
      <c r="D117" s="231">
        <v>-113</v>
      </c>
      <c r="E117" s="231">
        <v>-93</v>
      </c>
      <c r="F117" s="231">
        <f>-161</f>
        <v>-161</v>
      </c>
      <c r="G117" s="231">
        <f>-56+1297</f>
        <v>1241</v>
      </c>
      <c r="H117" s="193"/>
      <c r="I117" s="1001"/>
      <c r="J117" s="1001"/>
      <c r="K117" s="1001"/>
      <c r="L117" s="1001"/>
      <c r="M117" s="1001"/>
      <c r="N117" s="1001"/>
      <c r="O117" s="682"/>
      <c r="P117" s="682"/>
      <c r="Q117" s="682"/>
      <c r="R117" s="682"/>
      <c r="S117" s="682"/>
      <c r="T117" s="682"/>
      <c r="U117" s="682"/>
      <c r="V117" s="682"/>
      <c r="W117" s="682"/>
      <c r="X117" s="682"/>
      <c r="Y117" s="682"/>
      <c r="Z117" s="682"/>
    </row>
    <row r="118" spans="1:26" s="10" customFormat="1" ht="16.5" customHeight="1" x14ac:dyDescent="0.2">
      <c r="A118" s="231" t="s">
        <v>91</v>
      </c>
      <c r="B118" s="231">
        <v>-80</v>
      </c>
      <c r="C118" s="231">
        <v>-137</v>
      </c>
      <c r="D118" s="231">
        <v>-170</v>
      </c>
      <c r="E118" s="231">
        <v>-157</v>
      </c>
      <c r="F118" s="231">
        <v>-176</v>
      </c>
      <c r="G118" s="231">
        <v>-203</v>
      </c>
      <c r="H118" s="193"/>
      <c r="I118" s="1001"/>
      <c r="J118" s="1001"/>
      <c r="K118" s="1001"/>
      <c r="L118" s="1001"/>
      <c r="M118" s="1001"/>
      <c r="N118" s="1001"/>
      <c r="O118" s="682"/>
      <c r="P118" s="682"/>
      <c r="Q118" s="682"/>
      <c r="R118" s="682"/>
      <c r="S118" s="682"/>
      <c r="T118" s="682"/>
      <c r="U118" s="682"/>
      <c r="V118" s="682"/>
      <c r="W118" s="682"/>
      <c r="X118" s="682"/>
      <c r="Y118" s="682"/>
      <c r="Z118" s="682"/>
    </row>
    <row r="119" spans="1:26" s="10" customFormat="1" ht="16.5" customHeight="1" x14ac:dyDescent="0.2">
      <c r="A119" s="231" t="s">
        <v>220</v>
      </c>
      <c r="B119" s="231">
        <v>2</v>
      </c>
      <c r="C119" s="231">
        <v>14</v>
      </c>
      <c r="D119" s="231">
        <v>22</v>
      </c>
      <c r="E119" s="231">
        <v>12</v>
      </c>
      <c r="F119" s="231">
        <v>7</v>
      </c>
      <c r="G119" s="231">
        <v>142</v>
      </c>
      <c r="H119" s="193"/>
      <c r="I119" s="1001"/>
      <c r="J119" s="1001"/>
      <c r="K119" s="1001"/>
      <c r="L119" s="1001"/>
      <c r="M119" s="1001"/>
      <c r="N119" s="1001"/>
      <c r="O119" s="682"/>
      <c r="P119" s="682"/>
      <c r="Q119" s="682"/>
      <c r="R119" s="682"/>
      <c r="S119" s="682"/>
      <c r="T119" s="682"/>
      <c r="U119" s="682"/>
      <c r="V119" s="682"/>
      <c r="W119" s="682"/>
      <c r="X119" s="682"/>
      <c r="Y119" s="682"/>
      <c r="Z119" s="682"/>
    </row>
    <row r="120" spans="1:26" s="10" customFormat="1" ht="16.5" customHeight="1" x14ac:dyDescent="0.2">
      <c r="A120" s="231" t="s">
        <v>221</v>
      </c>
      <c r="B120" s="231">
        <v>1</v>
      </c>
      <c r="C120" s="231">
        <v>0</v>
      </c>
      <c r="D120" s="231">
        <v>5</v>
      </c>
      <c r="E120" s="231">
        <v>-6</v>
      </c>
      <c r="F120" s="231">
        <v>-4</v>
      </c>
      <c r="G120" s="231">
        <v>-126</v>
      </c>
      <c r="H120" s="193"/>
      <c r="I120" s="1001"/>
      <c r="J120" s="1001"/>
      <c r="K120" s="1001"/>
      <c r="L120" s="1001"/>
      <c r="M120" s="1001"/>
      <c r="N120" s="1001"/>
      <c r="O120" s="682"/>
      <c r="P120" s="682"/>
      <c r="Q120" s="682"/>
      <c r="R120" s="682"/>
      <c r="S120" s="682"/>
      <c r="T120" s="682"/>
      <c r="U120" s="682"/>
      <c r="V120" s="682"/>
      <c r="W120" s="682"/>
      <c r="X120" s="682"/>
      <c r="Y120" s="682"/>
      <c r="Z120" s="682"/>
    </row>
    <row r="121" spans="1:26" s="10" customFormat="1" ht="16.5" customHeight="1" x14ac:dyDescent="0.2">
      <c r="A121" s="231" t="s">
        <v>222</v>
      </c>
      <c r="B121" s="231">
        <v>72</v>
      </c>
      <c r="C121" s="231">
        <v>54</v>
      </c>
      <c r="D121" s="231">
        <v>48</v>
      </c>
      <c r="E121" s="231">
        <v>167</v>
      </c>
      <c r="F121" s="231">
        <v>15</v>
      </c>
      <c r="G121" s="231">
        <v>-2</v>
      </c>
      <c r="H121" s="193"/>
      <c r="I121" s="1001"/>
      <c r="J121" s="1001"/>
      <c r="K121" s="1001"/>
      <c r="L121" s="1001"/>
      <c r="M121" s="1001"/>
      <c r="N121" s="1001"/>
      <c r="O121" s="682"/>
      <c r="P121" s="682"/>
      <c r="Q121" s="682"/>
      <c r="R121" s="682"/>
      <c r="S121" s="682"/>
      <c r="T121" s="682"/>
      <c r="U121" s="682"/>
      <c r="V121" s="682"/>
      <c r="W121" s="682"/>
      <c r="X121" s="682"/>
      <c r="Y121" s="682"/>
      <c r="Z121" s="682"/>
    </row>
    <row r="122" spans="1:26" s="10" customFormat="1" ht="16.5" customHeight="1" x14ac:dyDescent="0.2">
      <c r="A122" s="231" t="s">
        <v>223</v>
      </c>
      <c r="B122" s="231">
        <v>37</v>
      </c>
      <c r="C122" s="231">
        <v>6</v>
      </c>
      <c r="D122" s="231">
        <v>13</v>
      </c>
      <c r="E122" s="231">
        <v>-12</v>
      </c>
      <c r="F122" s="231">
        <v>18</v>
      </c>
      <c r="G122" s="231">
        <v>-2</v>
      </c>
      <c r="H122" s="193"/>
      <c r="I122" s="1001"/>
      <c r="J122" s="1001"/>
      <c r="K122" s="1001"/>
      <c r="L122" s="1001"/>
      <c r="M122" s="1001"/>
      <c r="N122" s="1001"/>
      <c r="O122" s="682"/>
      <c r="P122" s="682"/>
      <c r="Q122" s="682"/>
      <c r="R122" s="682"/>
      <c r="S122" s="682"/>
      <c r="T122" s="682"/>
      <c r="U122" s="682"/>
      <c r="V122" s="682"/>
      <c r="W122" s="682"/>
      <c r="X122" s="682"/>
      <c r="Y122" s="682"/>
      <c r="Z122" s="682"/>
    </row>
    <row r="123" spans="1:26" s="10" customFormat="1" ht="16.5" customHeight="1" x14ac:dyDescent="0.2">
      <c r="A123" s="231" t="s">
        <v>322</v>
      </c>
      <c r="B123" s="231">
        <v>0</v>
      </c>
      <c r="C123" s="231">
        <v>0</v>
      </c>
      <c r="D123" s="231">
        <v>0</v>
      </c>
      <c r="E123" s="231">
        <v>0</v>
      </c>
      <c r="F123" s="231">
        <v>0</v>
      </c>
      <c r="G123" s="231">
        <v>0</v>
      </c>
      <c r="H123" s="193"/>
      <c r="I123" s="1001"/>
      <c r="J123" s="1001"/>
      <c r="K123" s="1001"/>
      <c r="L123" s="1001"/>
      <c r="M123" s="1001"/>
      <c r="N123" s="1001"/>
      <c r="O123" s="682"/>
      <c r="P123" s="682"/>
      <c r="Q123" s="682"/>
      <c r="R123" s="682"/>
      <c r="S123" s="682"/>
      <c r="T123" s="682"/>
      <c r="U123" s="682"/>
      <c r="V123" s="682"/>
      <c r="W123" s="682"/>
      <c r="X123" s="682"/>
      <c r="Y123" s="682"/>
      <c r="Z123" s="682"/>
    </row>
    <row r="124" spans="1:26" s="10" customFormat="1" ht="16.5" customHeight="1" x14ac:dyDescent="0.2">
      <c r="A124" s="231" t="s">
        <v>323</v>
      </c>
      <c r="B124" s="231">
        <v>95</v>
      </c>
      <c r="C124" s="231">
        <v>78</v>
      </c>
      <c r="D124" s="231">
        <v>58</v>
      </c>
      <c r="E124" s="231">
        <v>89</v>
      </c>
      <c r="F124" s="231">
        <v>110</v>
      </c>
      <c r="G124" s="231">
        <v>156</v>
      </c>
      <c r="H124" s="193"/>
      <c r="I124" s="1001"/>
      <c r="J124" s="1001"/>
      <c r="K124" s="1001"/>
      <c r="L124" s="1001"/>
      <c r="M124" s="1001"/>
      <c r="N124" s="1001"/>
      <c r="O124" s="682"/>
      <c r="P124" s="682"/>
      <c r="Q124" s="682"/>
      <c r="R124" s="682"/>
      <c r="S124" s="682"/>
      <c r="T124" s="682"/>
      <c r="U124" s="682"/>
      <c r="V124" s="682"/>
      <c r="W124" s="682"/>
      <c r="X124" s="682"/>
      <c r="Y124" s="682"/>
      <c r="Z124" s="682"/>
    </row>
    <row r="125" spans="1:26" s="20" customFormat="1" ht="16.5" customHeight="1" x14ac:dyDescent="0.2">
      <c r="A125" s="232" t="s">
        <v>324</v>
      </c>
      <c r="B125" s="232">
        <f>42+6</f>
        <v>48</v>
      </c>
      <c r="C125" s="232">
        <f>95+8</f>
        <v>103</v>
      </c>
      <c r="D125" s="231">
        <f>36+2</f>
        <v>38</v>
      </c>
      <c r="E125" s="231">
        <f>60+22</f>
        <v>82</v>
      </c>
      <c r="F125" s="231">
        <f>155-3</f>
        <v>152</v>
      </c>
      <c r="G125" s="231">
        <f>50+2</f>
        <v>52</v>
      </c>
      <c r="H125" s="193"/>
      <c r="I125" s="1003"/>
      <c r="J125" s="1003"/>
      <c r="K125" s="1003"/>
      <c r="L125" s="1003"/>
      <c r="M125" s="1003"/>
      <c r="N125" s="1003"/>
      <c r="O125" s="684"/>
      <c r="P125" s="684"/>
      <c r="Q125" s="684"/>
      <c r="R125" s="684"/>
      <c r="S125" s="684"/>
      <c r="T125" s="684"/>
      <c r="U125" s="684"/>
      <c r="V125" s="684"/>
      <c r="W125" s="684"/>
      <c r="X125" s="684"/>
      <c r="Y125" s="684"/>
      <c r="Z125" s="684"/>
    </row>
    <row r="126" spans="1:26" s="49" customFormat="1" ht="16.5" customHeight="1" x14ac:dyDescent="0.2">
      <c r="A126" s="76" t="s">
        <v>513</v>
      </c>
      <c r="B126" s="76">
        <f t="shared" ref="B126:G126" si="45">SUM(B104:B125)</f>
        <v>1177</v>
      </c>
      <c r="C126" s="76">
        <f t="shared" si="45"/>
        <v>1177</v>
      </c>
      <c r="D126" s="76">
        <f t="shared" si="45"/>
        <v>1110</v>
      </c>
      <c r="E126" s="76">
        <f t="shared" si="45"/>
        <v>1320</v>
      </c>
      <c r="F126" s="76">
        <f t="shared" si="45"/>
        <v>1220</v>
      </c>
      <c r="G126" s="76">
        <f t="shared" si="45"/>
        <v>2451</v>
      </c>
      <c r="H126" s="193"/>
      <c r="I126" s="1004"/>
      <c r="J126" s="1004"/>
      <c r="K126" s="1004"/>
      <c r="L126" s="1004"/>
      <c r="M126" s="1004"/>
      <c r="N126" s="1004"/>
      <c r="O126" s="714"/>
      <c r="P126" s="714"/>
      <c r="Q126" s="714"/>
      <c r="R126" s="714"/>
      <c r="S126" s="714"/>
      <c r="T126" s="714"/>
      <c r="U126" s="714"/>
      <c r="V126" s="714"/>
      <c r="W126" s="714"/>
      <c r="X126" s="714"/>
      <c r="Y126" s="714"/>
      <c r="Z126" s="714"/>
    </row>
    <row r="127" spans="1:26" s="10" customFormat="1" ht="16.5" customHeight="1" x14ac:dyDescent="0.2">
      <c r="A127" s="78" t="s">
        <v>218</v>
      </c>
      <c r="B127" s="80">
        <f t="shared" ref="B127:G127" si="46">B126/(B104+B106)</f>
        <v>1.3284424379232507</v>
      </c>
      <c r="C127" s="80">
        <f t="shared" si="46"/>
        <v>1.1676587301587302</v>
      </c>
      <c r="D127" s="80">
        <f t="shared" si="46"/>
        <v>1.0081743869209809</v>
      </c>
      <c r="E127" s="80">
        <f t="shared" si="46"/>
        <v>1.168141592920354</v>
      </c>
      <c r="F127" s="80">
        <f t="shared" si="46"/>
        <v>1.0590277777777777</v>
      </c>
      <c r="G127" s="80">
        <f t="shared" si="46"/>
        <v>2.2342752962625343</v>
      </c>
      <c r="H127" s="193"/>
      <c r="I127" s="1001"/>
      <c r="J127" s="1001"/>
      <c r="K127" s="1001"/>
      <c r="L127" s="1001"/>
      <c r="M127" s="1001"/>
      <c r="N127" s="1001"/>
      <c r="O127" s="682"/>
      <c r="P127" s="682"/>
      <c r="Q127" s="682"/>
      <c r="R127" s="682"/>
      <c r="S127" s="682"/>
      <c r="T127" s="682"/>
      <c r="U127" s="682"/>
      <c r="V127" s="682"/>
      <c r="W127" s="682"/>
      <c r="X127" s="682"/>
      <c r="Y127" s="682"/>
      <c r="Z127" s="682"/>
    </row>
    <row r="128" spans="1:26" s="1234" customFormat="1" ht="9" customHeight="1" x14ac:dyDescent="0.2">
      <c r="A128" s="677"/>
      <c r="B128" s="677"/>
      <c r="C128" s="677"/>
      <c r="D128" s="677"/>
      <c r="E128" s="677"/>
      <c r="F128" s="677"/>
      <c r="G128" s="677"/>
      <c r="H128" s="677"/>
      <c r="I128" s="1000"/>
      <c r="J128" s="1000"/>
      <c r="K128" s="1000"/>
      <c r="L128" s="1000"/>
      <c r="M128" s="1000"/>
      <c r="N128" s="1000"/>
    </row>
    <row r="129" spans="1:26" ht="16.899999999999999" customHeight="1" x14ac:dyDescent="0.2">
      <c r="A129" s="6" t="s">
        <v>241</v>
      </c>
      <c r="B129" s="26" t="s">
        <v>493</v>
      </c>
      <c r="C129" s="248"/>
      <c r="D129" s="248"/>
      <c r="E129" s="248"/>
      <c r="F129" s="248"/>
      <c r="G129" s="248"/>
      <c r="I129" s="1000"/>
      <c r="J129" s="1000"/>
      <c r="K129" s="1000"/>
      <c r="L129" s="1000"/>
      <c r="M129" s="1000"/>
      <c r="N129" s="1000"/>
      <c r="O129" s="1234"/>
    </row>
    <row r="130" spans="1:26" ht="16.899999999999999" customHeight="1" x14ac:dyDescent="0.2">
      <c r="A130" s="1235"/>
      <c r="B130" s="62">
        <f t="shared" ref="B130:G130" si="47">B9</f>
        <v>2010</v>
      </c>
      <c r="C130" s="62">
        <f t="shared" si="47"/>
        <v>2011</v>
      </c>
      <c r="D130" s="62">
        <f t="shared" si="47"/>
        <v>2012</v>
      </c>
      <c r="E130" s="62">
        <f t="shared" si="47"/>
        <v>2013</v>
      </c>
      <c r="F130" s="62">
        <f t="shared" si="47"/>
        <v>2014</v>
      </c>
      <c r="G130" s="62">
        <f t="shared" si="47"/>
        <v>2015</v>
      </c>
      <c r="I130" s="1000"/>
      <c r="J130" s="1000"/>
      <c r="K130" s="1000"/>
      <c r="L130" s="1000"/>
      <c r="M130" s="1000"/>
      <c r="N130" s="1000"/>
      <c r="O130" s="1234"/>
    </row>
    <row r="131" spans="1:26" s="18" customFormat="1" ht="16.5" customHeight="1" x14ac:dyDescent="0.2">
      <c r="A131" s="18" t="s">
        <v>13</v>
      </c>
      <c r="B131" s="677"/>
      <c r="C131" s="1234"/>
      <c r="D131" s="1234"/>
      <c r="E131" s="1234"/>
      <c r="F131" s="1234"/>
      <c r="G131" s="1234"/>
      <c r="H131" s="207"/>
      <c r="I131" s="1000"/>
      <c r="J131" s="1000"/>
      <c r="K131" s="1000"/>
      <c r="L131" s="1000"/>
      <c r="M131" s="1000"/>
      <c r="N131" s="1000"/>
      <c r="O131" s="1234"/>
      <c r="P131" s="1234"/>
      <c r="Q131" s="1234"/>
      <c r="R131" s="1234"/>
      <c r="S131" s="1234"/>
      <c r="T131" s="1234"/>
      <c r="U131" s="1234"/>
      <c r="V131" s="1234"/>
      <c r="W131" s="1234"/>
      <c r="X131" s="1234"/>
      <c r="Y131" s="1234"/>
      <c r="Z131" s="1234"/>
    </row>
    <row r="132" spans="1:26" s="10" customFormat="1" ht="16.5" customHeight="1" x14ac:dyDescent="0.2">
      <c r="A132" s="231" t="s">
        <v>14</v>
      </c>
      <c r="B132" s="231">
        <v>-399</v>
      </c>
      <c r="C132" s="231">
        <v>-511</v>
      </c>
      <c r="D132" s="231">
        <v>-513</v>
      </c>
      <c r="E132" s="231">
        <v>-803</v>
      </c>
      <c r="F132" s="231">
        <v>-861</v>
      </c>
      <c r="G132" s="231">
        <v>-1082</v>
      </c>
      <c r="H132" s="193"/>
      <c r="I132" s="1001"/>
      <c r="J132" s="1001"/>
      <c r="K132" s="1001"/>
      <c r="L132" s="1001"/>
      <c r="M132" s="1001"/>
      <c r="N132" s="1001"/>
      <c r="O132" s="682"/>
      <c r="P132" s="682"/>
      <c r="Q132" s="682"/>
      <c r="R132" s="682"/>
      <c r="S132" s="682"/>
      <c r="T132" s="682"/>
      <c r="U132" s="682"/>
      <c r="V132" s="682"/>
      <c r="W132" s="682"/>
      <c r="X132" s="682"/>
      <c r="Y132" s="682"/>
      <c r="Z132" s="682"/>
    </row>
    <row r="133" spans="1:26" s="10" customFormat="1" ht="16.5" customHeight="1" x14ac:dyDescent="0.2">
      <c r="A133" s="231" t="s">
        <v>92</v>
      </c>
      <c r="B133" s="231">
        <v>0</v>
      </c>
      <c r="C133" s="231">
        <v>0</v>
      </c>
      <c r="D133" s="231">
        <v>0</v>
      </c>
      <c r="E133" s="231">
        <v>0</v>
      </c>
      <c r="F133" s="231">
        <v>0</v>
      </c>
      <c r="G133" s="231">
        <v>0</v>
      </c>
      <c r="H133" s="193"/>
      <c r="I133" s="1001"/>
      <c r="J133" s="1001"/>
      <c r="K133" s="1001"/>
      <c r="L133" s="1001"/>
      <c r="M133" s="1001"/>
      <c r="N133" s="1001"/>
      <c r="O133" s="682"/>
      <c r="P133" s="682"/>
      <c r="Q133" s="682"/>
      <c r="R133" s="682"/>
      <c r="S133" s="682"/>
      <c r="T133" s="682"/>
      <c r="U133" s="682"/>
      <c r="V133" s="682"/>
      <c r="W133" s="682"/>
      <c r="X133" s="682"/>
      <c r="Y133" s="682"/>
      <c r="Z133" s="682"/>
    </row>
    <row r="134" spans="1:26" s="10" customFormat="1" ht="16.5" customHeight="1" x14ac:dyDescent="0.2">
      <c r="A134" s="231" t="s">
        <v>552</v>
      </c>
      <c r="B134" s="231">
        <v>0</v>
      </c>
      <c r="C134" s="231">
        <v>0</v>
      </c>
      <c r="D134" s="231">
        <v>0</v>
      </c>
      <c r="E134" s="231">
        <v>0</v>
      </c>
      <c r="F134" s="231">
        <v>0</v>
      </c>
      <c r="G134" s="231">
        <v>0</v>
      </c>
      <c r="H134" s="193"/>
      <c r="I134" s="1001"/>
      <c r="J134" s="1001"/>
      <c r="K134" s="1001"/>
      <c r="L134" s="1001"/>
      <c r="M134" s="1001"/>
      <c r="N134" s="1001"/>
      <c r="O134" s="682"/>
      <c r="P134" s="682"/>
      <c r="Q134" s="682"/>
      <c r="R134" s="682"/>
      <c r="S134" s="682"/>
      <c r="T134" s="682"/>
      <c r="U134" s="682"/>
      <c r="V134" s="682"/>
      <c r="W134" s="682"/>
      <c r="X134" s="682"/>
      <c r="Y134" s="682"/>
      <c r="Z134" s="682"/>
    </row>
    <row r="135" spans="1:26" s="10" customFormat="1" ht="16.5" customHeight="1" x14ac:dyDescent="0.2">
      <c r="A135" s="231" t="s">
        <v>553</v>
      </c>
      <c r="B135" s="231">
        <v>0</v>
      </c>
      <c r="C135" s="231">
        <v>0</v>
      </c>
      <c r="D135" s="231">
        <v>0</v>
      </c>
      <c r="E135" s="231">
        <v>0</v>
      </c>
      <c r="F135" s="231">
        <v>0</v>
      </c>
      <c r="G135" s="231">
        <v>0</v>
      </c>
      <c r="H135" s="193"/>
      <c r="I135" s="1002"/>
      <c r="J135" s="1002"/>
      <c r="K135" s="1002"/>
      <c r="L135" s="1002"/>
      <c r="M135" s="1002"/>
      <c r="N135" s="1002"/>
      <c r="O135" s="682"/>
      <c r="P135" s="682"/>
      <c r="Q135" s="682"/>
      <c r="R135" s="682"/>
      <c r="S135" s="682"/>
      <c r="T135" s="682"/>
      <c r="U135" s="682"/>
      <c r="V135" s="682"/>
      <c r="W135" s="682"/>
      <c r="X135" s="682"/>
      <c r="Y135" s="682"/>
      <c r="Z135" s="682"/>
    </row>
    <row r="136" spans="1:26" s="10" customFormat="1" ht="16.5" customHeight="1" x14ac:dyDescent="0.2">
      <c r="A136" s="231" t="s">
        <v>599</v>
      </c>
      <c r="B136" s="231">
        <v>0</v>
      </c>
      <c r="C136" s="231">
        <v>0</v>
      </c>
      <c r="D136" s="231">
        <v>0</v>
      </c>
      <c r="E136" s="231">
        <v>0</v>
      </c>
      <c r="F136" s="231">
        <v>0</v>
      </c>
      <c r="G136" s="231">
        <v>0</v>
      </c>
      <c r="H136" s="193"/>
      <c r="I136" s="1001"/>
      <c r="J136" s="1001"/>
      <c r="K136" s="1001"/>
      <c r="L136" s="1001"/>
      <c r="M136" s="1001"/>
      <c r="N136" s="1001"/>
      <c r="O136" s="682"/>
      <c r="P136" s="682"/>
      <c r="Q136" s="682"/>
      <c r="R136" s="682"/>
      <c r="S136" s="682"/>
      <c r="T136" s="682"/>
      <c r="U136" s="682"/>
      <c r="V136" s="682"/>
      <c r="W136" s="682"/>
      <c r="X136" s="682"/>
      <c r="Y136" s="682"/>
      <c r="Z136" s="682"/>
    </row>
    <row r="137" spans="1:26" s="20" customFormat="1" ht="16.5" customHeight="1" x14ac:dyDescent="0.2">
      <c r="A137" s="232" t="s">
        <v>326</v>
      </c>
      <c r="B137" s="232">
        <f>3-66</f>
        <v>-63</v>
      </c>
      <c r="C137" s="232">
        <f>-10-200-7</f>
        <v>-217</v>
      </c>
      <c r="D137" s="232">
        <f>-14+200-42</f>
        <v>144</v>
      </c>
      <c r="E137" s="232">
        <f>-13-6</f>
        <v>-19</v>
      </c>
      <c r="F137" s="232">
        <f>-20-8</f>
        <v>-28</v>
      </c>
      <c r="G137" s="232">
        <f>14+34+890</f>
        <v>938</v>
      </c>
      <c r="H137" s="193"/>
      <c r="I137" s="1003"/>
      <c r="J137" s="1003"/>
      <c r="K137" s="1003"/>
      <c r="L137" s="1003"/>
      <c r="M137" s="1003"/>
      <c r="N137" s="1003"/>
      <c r="O137" s="684"/>
      <c r="P137" s="684"/>
      <c r="Q137" s="684"/>
      <c r="R137" s="684"/>
      <c r="S137" s="684"/>
      <c r="T137" s="684"/>
      <c r="U137" s="684"/>
      <c r="V137" s="684"/>
      <c r="W137" s="684"/>
      <c r="X137" s="684"/>
      <c r="Y137" s="684"/>
      <c r="Z137" s="684"/>
    </row>
    <row r="138" spans="1:26" s="48" customFormat="1" ht="16.5" customHeight="1" x14ac:dyDescent="0.2">
      <c r="A138" s="478" t="s">
        <v>517</v>
      </c>
      <c r="B138" s="255">
        <f t="shared" ref="B138:G138" si="48">SUM(B132:B137)</f>
        <v>-462</v>
      </c>
      <c r="C138" s="255">
        <f t="shared" si="48"/>
        <v>-728</v>
      </c>
      <c r="D138" s="255">
        <f t="shared" si="48"/>
        <v>-369</v>
      </c>
      <c r="E138" s="255">
        <f t="shared" si="48"/>
        <v>-822</v>
      </c>
      <c r="F138" s="255">
        <f t="shared" si="48"/>
        <v>-889</v>
      </c>
      <c r="G138" s="255">
        <f t="shared" si="48"/>
        <v>-144</v>
      </c>
      <c r="H138" s="193"/>
      <c r="I138" s="1005"/>
      <c r="J138" s="1005"/>
      <c r="K138" s="1005"/>
      <c r="L138" s="1005"/>
      <c r="M138" s="1005"/>
      <c r="N138" s="1005"/>
      <c r="O138" s="717"/>
      <c r="P138" s="717"/>
      <c r="Q138" s="717"/>
      <c r="R138" s="717"/>
      <c r="S138" s="717"/>
      <c r="T138" s="717"/>
      <c r="U138" s="717"/>
      <c r="V138" s="717"/>
      <c r="W138" s="717"/>
      <c r="X138" s="717"/>
      <c r="Y138" s="717"/>
      <c r="Z138" s="717"/>
    </row>
    <row r="139" spans="1:26" s="1234" customFormat="1" ht="9" customHeight="1" x14ac:dyDescent="0.2">
      <c r="A139" s="1235"/>
      <c r="B139" s="788"/>
      <c r="C139" s="1235"/>
      <c r="D139" s="1235"/>
      <c r="E139" s="1235"/>
      <c r="F139" s="1235"/>
      <c r="G139" s="1235"/>
      <c r="H139" s="677"/>
      <c r="I139" s="1000"/>
      <c r="J139" s="1000"/>
      <c r="K139" s="1000"/>
      <c r="L139" s="1000"/>
      <c r="M139" s="1000"/>
      <c r="N139" s="1000"/>
    </row>
    <row r="140" spans="1:26" s="18" customFormat="1" ht="16.5" customHeight="1" x14ac:dyDescent="0.2">
      <c r="A140" s="5" t="s">
        <v>15</v>
      </c>
      <c r="B140" s="677"/>
      <c r="C140" s="1234"/>
      <c r="D140" s="1234"/>
      <c r="E140" s="1234"/>
      <c r="F140" s="1234"/>
      <c r="G140" s="1234"/>
      <c r="H140" s="677"/>
      <c r="I140" s="1000"/>
      <c r="J140" s="1000"/>
      <c r="K140" s="1000"/>
      <c r="L140" s="1000"/>
      <c r="M140" s="1000"/>
      <c r="N140" s="1000"/>
      <c r="O140" s="1234"/>
      <c r="P140" s="1234"/>
      <c r="Q140" s="1234"/>
      <c r="R140" s="1234"/>
      <c r="S140" s="1234"/>
      <c r="T140" s="1234"/>
      <c r="U140" s="1234"/>
      <c r="V140" s="1234"/>
      <c r="W140" s="1234"/>
      <c r="X140" s="1234"/>
      <c r="Y140" s="1234"/>
      <c r="Z140" s="1234"/>
    </row>
    <row r="141" spans="1:26" s="10" customFormat="1" ht="16.5" customHeight="1" x14ac:dyDescent="0.2">
      <c r="A141" s="231" t="s">
        <v>93</v>
      </c>
      <c r="B141" s="231">
        <v>-356</v>
      </c>
      <c r="C141" s="231">
        <v>-6</v>
      </c>
      <c r="D141" s="231">
        <v>-506</v>
      </c>
      <c r="E141" s="231">
        <v>-407</v>
      </c>
      <c r="F141" s="231">
        <v>-7</v>
      </c>
      <c r="G141" s="231">
        <f>-8-339</f>
        <v>-347</v>
      </c>
      <c r="H141" s="193"/>
      <c r="I141" s="1001"/>
      <c r="J141" s="1001"/>
      <c r="K141" s="1001"/>
      <c r="L141" s="1001"/>
      <c r="M141" s="1001"/>
      <c r="N141" s="1001"/>
      <c r="O141" s="682"/>
      <c r="P141" s="682"/>
      <c r="Q141" s="682"/>
      <c r="R141" s="682"/>
      <c r="S141" s="682"/>
      <c r="T141" s="682"/>
      <c r="U141" s="682"/>
      <c r="V141" s="682"/>
      <c r="W141" s="682"/>
      <c r="X141" s="682"/>
      <c r="Y141" s="682"/>
      <c r="Z141" s="682"/>
    </row>
    <row r="142" spans="1:26" s="10" customFormat="1" ht="16.5" customHeight="1" x14ac:dyDescent="0.2">
      <c r="A142" s="231" t="s">
        <v>94</v>
      </c>
      <c r="B142" s="231">
        <f>498</f>
        <v>498</v>
      </c>
      <c r="C142" s="231">
        <f>824</f>
        <v>824</v>
      </c>
      <c r="D142" s="231">
        <v>0</v>
      </c>
      <c r="E142" s="231">
        <f>399</f>
        <v>399</v>
      </c>
      <c r="F142" s="231">
        <f>34</f>
        <v>34</v>
      </c>
      <c r="G142" s="231">
        <f>16</f>
        <v>16</v>
      </c>
      <c r="H142" s="193"/>
      <c r="I142" s="1001"/>
      <c r="J142" s="1001"/>
      <c r="K142" s="1001"/>
      <c r="L142" s="1001"/>
      <c r="M142" s="1001"/>
      <c r="N142" s="1001"/>
      <c r="O142" s="682"/>
      <c r="P142" s="682"/>
      <c r="Q142" s="682"/>
      <c r="R142" s="682"/>
      <c r="S142" s="682"/>
      <c r="T142" s="682"/>
      <c r="U142" s="682"/>
      <c r="V142" s="682"/>
      <c r="W142" s="682"/>
      <c r="X142" s="682"/>
      <c r="Y142" s="682"/>
      <c r="Z142" s="682"/>
    </row>
    <row r="143" spans="1:26" s="10" customFormat="1" ht="16.5" customHeight="1" x14ac:dyDescent="0.2">
      <c r="A143" s="231" t="s">
        <v>554</v>
      </c>
      <c r="B143" s="231">
        <v>-167</v>
      </c>
      <c r="C143" s="231">
        <v>-197</v>
      </c>
      <c r="D143" s="231">
        <v>-220</v>
      </c>
      <c r="E143" s="231">
        <v>-234</v>
      </c>
      <c r="F143" s="231">
        <v>-251</v>
      </c>
      <c r="G143" s="231">
        <v>-1185</v>
      </c>
      <c r="H143" s="193"/>
      <c r="I143" s="1001"/>
      <c r="J143" s="1001"/>
      <c r="K143" s="1001"/>
      <c r="L143" s="1001"/>
      <c r="M143" s="1001"/>
      <c r="N143" s="1001"/>
      <c r="O143" s="682"/>
      <c r="P143" s="682"/>
      <c r="Q143" s="682"/>
      <c r="R143" s="682"/>
      <c r="S143" s="682"/>
      <c r="T143" s="682"/>
      <c r="U143" s="682"/>
      <c r="V143" s="682"/>
      <c r="W143" s="682"/>
      <c r="X143" s="682"/>
      <c r="Y143" s="682"/>
      <c r="Z143" s="682"/>
    </row>
    <row r="144" spans="1:26" s="10" customFormat="1" ht="16.5" customHeight="1" x14ac:dyDescent="0.2">
      <c r="A144" s="231" t="s">
        <v>95</v>
      </c>
      <c r="B144" s="231">
        <v>-84</v>
      </c>
      <c r="C144" s="231">
        <v>-840</v>
      </c>
      <c r="D144" s="231">
        <v>-725</v>
      </c>
      <c r="E144" s="231">
        <v>-515</v>
      </c>
      <c r="F144" s="231">
        <v>-610</v>
      </c>
      <c r="G144" s="231">
        <v>-1192</v>
      </c>
      <c r="H144" s="193"/>
      <c r="I144" s="1001"/>
      <c r="J144" s="1001"/>
      <c r="K144" s="1001"/>
      <c r="L144" s="1001"/>
      <c r="M144" s="1001"/>
      <c r="N144" s="1001"/>
      <c r="O144" s="682"/>
      <c r="P144" s="682"/>
      <c r="Q144" s="682"/>
      <c r="R144" s="682"/>
      <c r="S144" s="682"/>
      <c r="T144" s="682"/>
      <c r="U144" s="682"/>
      <c r="V144" s="682"/>
      <c r="W144" s="682"/>
      <c r="X144" s="682"/>
      <c r="Y144" s="682"/>
      <c r="Z144" s="682"/>
    </row>
    <row r="145" spans="1:26" s="10" customFormat="1" ht="16.5" customHeight="1" x14ac:dyDescent="0.2">
      <c r="A145" s="231" t="s">
        <v>518</v>
      </c>
      <c r="B145" s="231">
        <f>16+48</f>
        <v>64</v>
      </c>
      <c r="C145" s="231">
        <f>22+76</f>
        <v>98</v>
      </c>
      <c r="D145" s="231">
        <f>24+91</f>
        <v>115</v>
      </c>
      <c r="E145" s="231">
        <f>23+103</f>
        <v>126</v>
      </c>
      <c r="F145" s="231">
        <f>22+141</f>
        <v>163</v>
      </c>
      <c r="G145" s="231">
        <f>15+94</f>
        <v>109</v>
      </c>
      <c r="H145" s="193"/>
      <c r="I145" s="1001"/>
      <c r="J145" s="1001"/>
      <c r="K145" s="1001"/>
      <c r="L145" s="1001"/>
      <c r="M145" s="1001"/>
      <c r="N145" s="1001"/>
      <c r="O145" s="682"/>
      <c r="P145" s="682"/>
      <c r="Q145" s="682"/>
      <c r="R145" s="682"/>
      <c r="S145" s="682"/>
      <c r="T145" s="682"/>
      <c r="U145" s="682"/>
      <c r="V145" s="682"/>
      <c r="W145" s="682"/>
      <c r="X145" s="682"/>
      <c r="Y145" s="682"/>
      <c r="Z145" s="682"/>
    </row>
    <row r="146" spans="1:26" s="20" customFormat="1" ht="16.5" customHeight="1" x14ac:dyDescent="0.2">
      <c r="A146" s="232" t="s">
        <v>326</v>
      </c>
      <c r="B146" s="232">
        <f>4+37</f>
        <v>41</v>
      </c>
      <c r="C146" s="232">
        <f>1+72-30</f>
        <v>43</v>
      </c>
      <c r="D146" s="232">
        <f>-2+5</f>
        <v>3</v>
      </c>
      <c r="E146" s="232">
        <f>-5+47</f>
        <v>42</v>
      </c>
      <c r="F146" s="232">
        <f>-23-4</f>
        <v>-27</v>
      </c>
      <c r="G146" s="232">
        <f>37+23</f>
        <v>60</v>
      </c>
      <c r="H146" s="193"/>
      <c r="I146" s="1003"/>
      <c r="J146" s="1003"/>
      <c r="K146" s="1003"/>
      <c r="L146" s="1003"/>
      <c r="M146" s="1003"/>
      <c r="N146" s="1003"/>
      <c r="O146" s="684"/>
      <c r="P146" s="684"/>
      <c r="Q146" s="684"/>
      <c r="R146" s="684"/>
      <c r="S146" s="684"/>
      <c r="T146" s="684"/>
      <c r="U146" s="684"/>
      <c r="V146" s="684"/>
      <c r="W146" s="684"/>
      <c r="X146" s="684"/>
      <c r="Y146" s="684"/>
      <c r="Z146" s="684"/>
    </row>
    <row r="147" spans="1:26" s="48" customFormat="1" ht="16.5" customHeight="1" x14ac:dyDescent="0.2">
      <c r="A147" s="48" t="s">
        <v>16</v>
      </c>
      <c r="B147" s="255">
        <f t="shared" ref="B147:G147" si="49">SUM(B141:B146)</f>
        <v>-4</v>
      </c>
      <c r="C147" s="255">
        <f t="shared" si="49"/>
        <v>-78</v>
      </c>
      <c r="D147" s="255">
        <f t="shared" si="49"/>
        <v>-1333</v>
      </c>
      <c r="E147" s="255">
        <f t="shared" si="49"/>
        <v>-589</v>
      </c>
      <c r="F147" s="255">
        <f t="shared" si="49"/>
        <v>-698</v>
      </c>
      <c r="G147" s="255">
        <f t="shared" si="49"/>
        <v>-2539</v>
      </c>
      <c r="H147" s="193"/>
      <c r="I147" s="1005"/>
      <c r="J147" s="1005"/>
      <c r="K147" s="1005"/>
      <c r="L147" s="1005"/>
      <c r="M147" s="1005"/>
      <c r="N147" s="1005"/>
      <c r="O147" s="717"/>
      <c r="P147" s="717"/>
      <c r="Q147" s="717"/>
      <c r="R147" s="717"/>
      <c r="S147" s="717"/>
      <c r="T147" s="717"/>
      <c r="U147" s="717"/>
      <c r="V147" s="717"/>
      <c r="W147" s="717"/>
      <c r="X147" s="717"/>
      <c r="Y147" s="717"/>
      <c r="Z147" s="717"/>
    </row>
    <row r="148" spans="1:26" s="1234" customFormat="1" ht="9" customHeight="1" x14ac:dyDescent="0.2">
      <c r="A148" s="1235"/>
      <c r="B148" s="788"/>
      <c r="C148" s="1235"/>
      <c r="D148" s="1235"/>
      <c r="E148" s="1235"/>
      <c r="F148" s="1235"/>
      <c r="G148" s="1235"/>
      <c r="H148" s="677"/>
      <c r="I148" s="1000"/>
      <c r="J148" s="1000"/>
      <c r="K148" s="1000"/>
      <c r="L148" s="1000"/>
      <c r="M148" s="1000"/>
      <c r="N148" s="1000"/>
    </row>
    <row r="149" spans="1:26" ht="16.5" customHeight="1" x14ac:dyDescent="0.2">
      <c r="A149" s="81" t="s">
        <v>519</v>
      </c>
      <c r="B149" s="258">
        <v>0</v>
      </c>
      <c r="C149" s="258">
        <v>0</v>
      </c>
      <c r="D149" s="258">
        <v>0</v>
      </c>
      <c r="E149" s="258">
        <v>0</v>
      </c>
      <c r="F149" s="258">
        <v>0</v>
      </c>
      <c r="G149" s="258">
        <v>0</v>
      </c>
      <c r="I149" s="1000"/>
      <c r="J149" s="1000"/>
      <c r="K149" s="1000"/>
      <c r="L149" s="1000"/>
      <c r="M149" s="1000"/>
      <c r="N149" s="1000"/>
      <c r="O149" s="1234"/>
    </row>
    <row r="150" spans="1:26" ht="16.5" customHeight="1" x14ac:dyDescent="0.2">
      <c r="A150" s="1" t="s">
        <v>108</v>
      </c>
      <c r="B150" s="2">
        <f t="shared" ref="B150:G150" si="50">B126+B138+B147+B149</f>
        <v>711</v>
      </c>
      <c r="C150" s="2">
        <f t="shared" si="50"/>
        <v>371</v>
      </c>
      <c r="D150" s="2">
        <f t="shared" si="50"/>
        <v>-592</v>
      </c>
      <c r="E150" s="2">
        <f t="shared" si="50"/>
        <v>-91</v>
      </c>
      <c r="F150" s="2">
        <f t="shared" si="50"/>
        <v>-367</v>
      </c>
      <c r="G150" s="2">
        <f t="shared" si="50"/>
        <v>-232</v>
      </c>
      <c r="I150" s="1000"/>
      <c r="J150" s="1000"/>
      <c r="K150" s="1000"/>
      <c r="L150" s="1000"/>
      <c r="M150" s="1000"/>
      <c r="N150" s="1000"/>
      <c r="O150" s="1234"/>
    </row>
    <row r="151" spans="1:26" ht="16.5" customHeight="1" x14ac:dyDescent="0.2">
      <c r="A151" s="39" t="s">
        <v>521</v>
      </c>
      <c r="B151" s="75">
        <f>B152-B150</f>
        <v>795</v>
      </c>
      <c r="C151" s="75">
        <f>B152</f>
        <v>1506</v>
      </c>
      <c r="D151" s="75">
        <f>C152</f>
        <v>1877</v>
      </c>
      <c r="E151" s="75">
        <f>D152</f>
        <v>1285</v>
      </c>
      <c r="F151" s="75">
        <f>E152</f>
        <v>1194</v>
      </c>
      <c r="G151" s="75">
        <f>F152</f>
        <v>827</v>
      </c>
      <c r="I151" s="1000"/>
      <c r="J151" s="1000"/>
      <c r="K151" s="1000"/>
      <c r="L151" s="1000"/>
      <c r="M151" s="1000"/>
      <c r="N151" s="1000"/>
      <c r="O151" s="1234"/>
    </row>
    <row r="152" spans="1:26" s="16" customFormat="1" ht="16.5" customHeight="1" thickBot="1" x14ac:dyDescent="0.25">
      <c r="A152" s="37" t="s">
        <v>520</v>
      </c>
      <c r="B152" s="105">
        <f>B12</f>
        <v>1506</v>
      </c>
      <c r="C152" s="105">
        <f>C150+C151</f>
        <v>1877</v>
      </c>
      <c r="D152" s="105">
        <f>D150+D151</f>
        <v>1285</v>
      </c>
      <c r="E152" s="105">
        <f>E150+E151</f>
        <v>1194</v>
      </c>
      <c r="F152" s="105">
        <f>F150+F151</f>
        <v>827</v>
      </c>
      <c r="G152" s="105">
        <f>G150+G151</f>
        <v>595</v>
      </c>
      <c r="H152" s="193"/>
      <c r="I152" s="1006"/>
      <c r="J152" s="1006"/>
      <c r="K152" s="1006"/>
      <c r="L152" s="1006"/>
      <c r="M152" s="1006"/>
      <c r="N152" s="1006"/>
      <c r="O152" s="687"/>
      <c r="P152" s="687"/>
      <c r="Q152" s="687"/>
      <c r="R152" s="687"/>
      <c r="S152" s="687"/>
      <c r="T152" s="687"/>
      <c r="U152" s="687"/>
      <c r="V152" s="687"/>
      <c r="W152" s="687"/>
      <c r="X152" s="687"/>
      <c r="Y152" s="687"/>
      <c r="Z152" s="687"/>
    </row>
    <row r="153" spans="1:26" s="1234" customFormat="1" ht="9" customHeight="1" x14ac:dyDescent="0.2">
      <c r="B153" s="677"/>
      <c r="H153" s="677"/>
      <c r="I153" s="1000"/>
      <c r="J153" s="1000"/>
      <c r="K153" s="1000"/>
      <c r="L153" s="1000"/>
      <c r="M153" s="1000"/>
      <c r="N153" s="1000"/>
    </row>
    <row r="154" spans="1:26" ht="16.5" customHeight="1" x14ac:dyDescent="0.2">
      <c r="A154" s="18" t="s">
        <v>96</v>
      </c>
      <c r="B154" s="677"/>
      <c r="C154" s="1234"/>
      <c r="D154" s="1234"/>
      <c r="E154" s="1234"/>
      <c r="F154" s="1234"/>
      <c r="G154" s="1234"/>
      <c r="I154" s="1000"/>
      <c r="J154" s="1000"/>
      <c r="K154" s="1000"/>
      <c r="L154" s="1000"/>
      <c r="M154" s="1000"/>
      <c r="N154" s="1000"/>
      <c r="O154" s="1234"/>
    </row>
    <row r="155" spans="1:26" s="10" customFormat="1" ht="16.5" customHeight="1" x14ac:dyDescent="0.2">
      <c r="A155" s="32" t="s">
        <v>97</v>
      </c>
      <c r="B155" s="231">
        <v>381</v>
      </c>
      <c r="C155" s="231">
        <v>398</v>
      </c>
      <c r="D155" s="231">
        <v>429</v>
      </c>
      <c r="E155" s="231">
        <v>445</v>
      </c>
      <c r="F155" s="231">
        <v>391</v>
      </c>
      <c r="G155" s="231">
        <v>383</v>
      </c>
      <c r="H155" s="193"/>
      <c r="I155" s="1001"/>
      <c r="J155" s="1001"/>
      <c r="K155" s="1001"/>
      <c r="L155" s="1001"/>
      <c r="M155" s="1001"/>
      <c r="N155" s="1001"/>
      <c r="O155" s="682"/>
      <c r="P155" s="682"/>
      <c r="Q155" s="682"/>
      <c r="R155" s="682"/>
      <c r="S155" s="682"/>
      <c r="T155" s="682"/>
      <c r="U155" s="682"/>
      <c r="V155" s="682"/>
      <c r="W155" s="682"/>
      <c r="X155" s="682"/>
      <c r="Y155" s="682"/>
      <c r="Z155" s="682"/>
    </row>
    <row r="156" spans="1:26" s="10" customFormat="1" ht="16.5" customHeight="1" x14ac:dyDescent="0.2">
      <c r="A156" s="32" t="s">
        <v>98</v>
      </c>
      <c r="B156" s="231">
        <v>121</v>
      </c>
      <c r="C156" s="231">
        <v>124</v>
      </c>
      <c r="D156" s="231">
        <v>169</v>
      </c>
      <c r="E156" s="231">
        <v>170</v>
      </c>
      <c r="F156" s="231">
        <v>152</v>
      </c>
      <c r="G156" s="231">
        <v>136</v>
      </c>
      <c r="H156" s="193"/>
      <c r="I156" s="1001"/>
      <c r="J156" s="1001"/>
      <c r="K156" s="1001"/>
      <c r="L156" s="1001"/>
      <c r="M156" s="1001"/>
      <c r="N156" s="1001"/>
      <c r="O156" s="682"/>
      <c r="P156" s="682"/>
      <c r="Q156" s="682"/>
      <c r="R156" s="682"/>
      <c r="S156" s="682"/>
      <c r="T156" s="682"/>
      <c r="U156" s="682"/>
      <c r="V156" s="682"/>
      <c r="W156" s="682"/>
      <c r="X156" s="682"/>
      <c r="Y156" s="682"/>
      <c r="Z156" s="682"/>
    </row>
    <row r="157" spans="1:26" s="10" customFormat="1" ht="16.5" customHeight="1" x14ac:dyDescent="0.2">
      <c r="A157" s="231" t="s">
        <v>325</v>
      </c>
      <c r="B157" s="231">
        <v>0</v>
      </c>
      <c r="C157" s="231">
        <v>148</v>
      </c>
      <c r="D157" s="231">
        <v>0</v>
      </c>
      <c r="E157" s="231">
        <v>0</v>
      </c>
      <c r="F157" s="231">
        <v>0</v>
      </c>
      <c r="G157" s="231">
        <v>62</v>
      </c>
      <c r="H157" s="193"/>
      <c r="I157" s="1001"/>
      <c r="J157" s="1001"/>
      <c r="K157" s="1001"/>
      <c r="L157" s="1001"/>
      <c r="M157" s="1001"/>
      <c r="N157" s="1001"/>
      <c r="O157" s="682"/>
      <c r="P157" s="682"/>
      <c r="Q157" s="682"/>
      <c r="R157" s="682"/>
      <c r="S157" s="682"/>
      <c r="T157" s="682"/>
      <c r="U157" s="682"/>
      <c r="V157" s="682"/>
      <c r="W157" s="682"/>
      <c r="X157" s="682"/>
      <c r="Y157" s="682"/>
      <c r="Z157" s="682"/>
    </row>
    <row r="158" spans="1:26" s="718" customFormat="1" ht="16.5" customHeight="1" x14ac:dyDescent="0.2">
      <c r="H158" s="677"/>
      <c r="I158" s="1030"/>
      <c r="J158" s="1030"/>
      <c r="K158" s="1030"/>
      <c r="L158" s="1030"/>
      <c r="M158" s="1030"/>
      <c r="N158" s="1030"/>
    </row>
    <row r="159" spans="1:26" s="682" customFormat="1" ht="16.899999999999999" customHeight="1" x14ac:dyDescent="0.2">
      <c r="B159" s="718"/>
      <c r="C159" s="1017"/>
      <c r="D159" s="1018"/>
      <c r="E159" s="1018"/>
      <c r="F159" s="1018"/>
      <c r="G159" s="1018"/>
      <c r="H159" s="677"/>
      <c r="I159" s="1024"/>
      <c r="J159" s="1024"/>
      <c r="K159" s="1025"/>
      <c r="L159" s="1025"/>
      <c r="M159" s="1025"/>
      <c r="N159" s="1025"/>
    </row>
    <row r="160" spans="1:26" s="682" customFormat="1" ht="16.5" customHeight="1" x14ac:dyDescent="0.2">
      <c r="B160" s="718"/>
      <c r="C160" s="1017"/>
      <c r="D160" s="1018"/>
      <c r="E160" s="1018"/>
      <c r="F160" s="1018"/>
      <c r="G160" s="1018"/>
      <c r="H160" s="677"/>
      <c r="I160" s="1024"/>
      <c r="J160" s="1024"/>
      <c r="K160" s="1025"/>
      <c r="L160" s="1025"/>
      <c r="M160" s="1025"/>
      <c r="N160" s="1025"/>
    </row>
    <row r="161" spans="1:26" s="87" customFormat="1" ht="16.899999999999999" customHeight="1" x14ac:dyDescent="0.2">
      <c r="A161" s="1015" t="s">
        <v>1013</v>
      </c>
      <c r="B161" s="718"/>
      <c r="C161" s="1017"/>
      <c r="D161" s="1018"/>
      <c r="E161" s="1018"/>
      <c r="F161" s="682"/>
      <c r="G161" s="682"/>
      <c r="H161" s="677"/>
      <c r="I161" s="1024"/>
      <c r="J161" s="1024"/>
      <c r="K161" s="1025"/>
      <c r="L161" s="1025"/>
      <c r="M161" s="1025"/>
      <c r="N161" s="1025"/>
      <c r="O161" s="682"/>
      <c r="P161" s="682"/>
      <c r="Q161" s="682"/>
      <c r="R161" s="682"/>
      <c r="S161" s="682"/>
      <c r="T161" s="682"/>
      <c r="U161" s="682"/>
      <c r="V161" s="682"/>
      <c r="W161" s="682"/>
      <c r="X161" s="682"/>
      <c r="Y161" s="682"/>
      <c r="Z161" s="682"/>
    </row>
    <row r="162" spans="1:26" s="87" customFormat="1" ht="16.899999999999999" customHeight="1" x14ac:dyDescent="0.2">
      <c r="A162" s="1010" t="s">
        <v>1030</v>
      </c>
      <c r="B162" s="1009"/>
      <c r="C162" s="1009"/>
      <c r="D162" s="1009"/>
      <c r="E162" s="1009"/>
      <c r="F162" s="1016" t="s">
        <v>790</v>
      </c>
      <c r="G162" s="1016" t="s">
        <v>935</v>
      </c>
      <c r="H162" s="677"/>
      <c r="I162" s="1024"/>
      <c r="J162" s="1024"/>
      <c r="K162" s="1025"/>
      <c r="L162" s="1025"/>
      <c r="M162" s="1025"/>
      <c r="N162" s="1025"/>
      <c r="O162" s="682"/>
      <c r="P162" s="682"/>
      <c r="Q162" s="682"/>
      <c r="R162" s="682"/>
      <c r="S162" s="682"/>
      <c r="T162" s="682"/>
      <c r="U162" s="682"/>
      <c r="V162" s="682"/>
      <c r="W162" s="682"/>
      <c r="X162" s="682"/>
      <c r="Y162" s="682"/>
      <c r="Z162" s="682"/>
    </row>
    <row r="163" spans="1:26" s="87" customFormat="1" ht="42" customHeight="1" x14ac:dyDescent="0.2">
      <c r="A163" s="1282" t="s">
        <v>1061</v>
      </c>
      <c r="B163" s="1282"/>
      <c r="C163" s="1282"/>
      <c r="D163" s="1282"/>
      <c r="E163" s="1282"/>
      <c r="F163" s="682"/>
      <c r="G163" s="682"/>
      <c r="H163" s="677"/>
      <c r="I163" s="1024"/>
      <c r="J163" s="1024"/>
      <c r="K163" s="1025"/>
      <c r="L163" s="1025"/>
      <c r="M163" s="1025"/>
      <c r="N163" s="1025"/>
      <c r="O163" s="682"/>
      <c r="P163" s="682"/>
      <c r="Q163" s="682"/>
      <c r="R163" s="682"/>
      <c r="S163" s="682"/>
      <c r="T163" s="682"/>
      <c r="U163" s="682"/>
      <c r="V163" s="682"/>
      <c r="W163" s="682"/>
      <c r="X163" s="682"/>
      <c r="Y163" s="682"/>
      <c r="Z163" s="682"/>
    </row>
    <row r="164" spans="1:26" s="87" customFormat="1" ht="16.899999999999999" customHeight="1" x14ac:dyDescent="0.2">
      <c r="A164" s="138" t="s">
        <v>999</v>
      </c>
      <c r="B164" s="1019"/>
      <c r="C164" s="1019"/>
      <c r="D164" s="1019"/>
      <c r="E164" s="1019"/>
      <c r="F164" s="31">
        <v>10</v>
      </c>
      <c r="G164" s="1013"/>
      <c r="H164" s="677"/>
      <c r="I164" s="1024"/>
      <c r="J164" s="1024"/>
      <c r="K164" s="1025"/>
      <c r="L164" s="1025"/>
      <c r="M164" s="1025"/>
      <c r="N164" s="1025"/>
      <c r="O164" s="682"/>
      <c r="P164" s="682"/>
      <c r="Q164" s="682"/>
      <c r="R164" s="682"/>
      <c r="S164" s="682"/>
      <c r="T164" s="682"/>
      <c r="U164" s="682"/>
      <c r="V164" s="682"/>
      <c r="W164" s="682"/>
      <c r="X164" s="682"/>
      <c r="Y164" s="682"/>
      <c r="Z164" s="682"/>
    </row>
    <row r="165" spans="1:26" s="87" customFormat="1" ht="16.899999999999999" customHeight="1" x14ac:dyDescent="0.2">
      <c r="A165" s="138" t="s">
        <v>1000</v>
      </c>
      <c r="B165" s="1019"/>
      <c r="C165" s="1019"/>
      <c r="D165" s="1019"/>
      <c r="E165" s="1019"/>
      <c r="F165" s="31">
        <v>10</v>
      </c>
      <c r="G165" s="1013"/>
      <c r="H165" s="677"/>
      <c r="I165" s="1024"/>
      <c r="J165" s="1024"/>
      <c r="K165" s="1025"/>
      <c r="L165" s="1025"/>
      <c r="M165" s="1025"/>
      <c r="N165" s="1025"/>
      <c r="O165" s="682"/>
      <c r="P165" s="682"/>
      <c r="Q165" s="682"/>
      <c r="R165" s="682"/>
      <c r="S165" s="682"/>
      <c r="T165" s="682"/>
      <c r="U165" s="682"/>
      <c r="V165" s="682"/>
      <c r="W165" s="682"/>
      <c r="X165" s="682"/>
      <c r="Y165" s="682"/>
      <c r="Z165" s="682"/>
    </row>
    <row r="166" spans="1:26" s="87" customFormat="1" ht="16.899999999999999" customHeight="1" x14ac:dyDescent="0.2">
      <c r="A166" s="138" t="s">
        <v>1003</v>
      </c>
      <c r="B166" s="1019"/>
      <c r="C166" s="1019"/>
      <c r="D166" s="1019"/>
      <c r="E166" s="1019"/>
      <c r="F166" s="31">
        <v>10</v>
      </c>
      <c r="G166" s="1013"/>
      <c r="H166" s="677"/>
      <c r="I166" s="1024"/>
      <c r="J166" s="1024"/>
      <c r="K166" s="1025"/>
      <c r="L166" s="1025"/>
      <c r="M166" s="1025"/>
      <c r="N166" s="1025"/>
      <c r="O166" s="682"/>
      <c r="P166" s="682"/>
      <c r="Q166" s="682"/>
      <c r="R166" s="682"/>
      <c r="S166" s="682"/>
      <c r="T166" s="682"/>
      <c r="U166" s="682"/>
      <c r="V166" s="682"/>
      <c r="W166" s="682"/>
      <c r="X166" s="682"/>
      <c r="Y166" s="682"/>
      <c r="Z166" s="682"/>
    </row>
    <row r="167" spans="1:26" s="87" customFormat="1" ht="16.899999999999999" customHeight="1" x14ac:dyDescent="0.2">
      <c r="A167" s="138" t="s">
        <v>1001</v>
      </c>
      <c r="B167" s="1019"/>
      <c r="C167" s="1019"/>
      <c r="D167" s="1019"/>
      <c r="E167" s="1019"/>
      <c r="F167" s="31">
        <v>10</v>
      </c>
      <c r="G167" s="1013"/>
      <c r="H167" s="677"/>
      <c r="I167" s="1024"/>
      <c r="J167" s="1024"/>
      <c r="K167" s="1025"/>
      <c r="L167" s="1025"/>
      <c r="M167" s="1025"/>
      <c r="N167" s="1025"/>
      <c r="O167" s="682"/>
      <c r="P167" s="682"/>
      <c r="Q167" s="682"/>
      <c r="R167" s="682"/>
      <c r="S167" s="682"/>
      <c r="T167" s="682"/>
      <c r="U167" s="682"/>
      <c r="V167" s="682"/>
      <c r="W167" s="682"/>
      <c r="X167" s="682"/>
      <c r="Y167" s="682"/>
      <c r="Z167" s="682"/>
    </row>
    <row r="168" spans="1:26" s="87" customFormat="1" ht="16.899999999999999" customHeight="1" x14ac:dyDescent="0.2">
      <c r="A168" s="138" t="s">
        <v>1002</v>
      </c>
      <c r="B168" s="1019"/>
      <c r="C168" s="1019"/>
      <c r="D168" s="1019"/>
      <c r="E168" s="1019"/>
      <c r="F168" s="31">
        <v>10</v>
      </c>
      <c r="G168" s="1013"/>
      <c r="H168" s="677"/>
      <c r="I168" s="1024"/>
      <c r="J168" s="1024"/>
      <c r="K168" s="1025"/>
      <c r="L168" s="1025"/>
      <c r="M168" s="1025"/>
      <c r="N168" s="1025"/>
      <c r="O168" s="682"/>
      <c r="P168" s="682"/>
      <c r="Q168" s="682"/>
      <c r="R168" s="682"/>
      <c r="S168" s="682"/>
      <c r="T168" s="682"/>
      <c r="U168" s="682"/>
      <c r="V168" s="682"/>
      <c r="W168" s="682"/>
      <c r="X168" s="682"/>
      <c r="Y168" s="682"/>
      <c r="Z168" s="682"/>
    </row>
    <row r="169" spans="1:26" s="88" customFormat="1" ht="39" customHeight="1" x14ac:dyDescent="0.2">
      <c r="A169" s="1286" t="s">
        <v>959</v>
      </c>
      <c r="B169" s="1287"/>
      <c r="C169" s="1287"/>
      <c r="D169" s="1287"/>
      <c r="E169" s="1287"/>
      <c r="F169" s="1012">
        <v>50</v>
      </c>
      <c r="G169" s="1014"/>
      <c r="H169" s="677"/>
      <c r="I169" s="1026"/>
      <c r="J169" s="1026"/>
      <c r="K169" s="1027"/>
      <c r="L169" s="1027"/>
      <c r="M169" s="1027"/>
      <c r="N169" s="1027"/>
      <c r="O169" s="685"/>
      <c r="P169" s="685"/>
      <c r="Q169" s="685"/>
      <c r="R169" s="685"/>
      <c r="S169" s="685"/>
      <c r="T169" s="685"/>
      <c r="U169" s="685"/>
      <c r="V169" s="685"/>
      <c r="W169" s="685"/>
      <c r="X169" s="685"/>
      <c r="Y169" s="685"/>
      <c r="Z169" s="685"/>
    </row>
    <row r="170" spans="1:26" s="198" customFormat="1" ht="16.899999999999999" customHeight="1" thickBot="1" x14ac:dyDescent="0.25">
      <c r="A170" s="169" t="s">
        <v>936</v>
      </c>
      <c r="B170" s="1020"/>
      <c r="C170" s="1020"/>
      <c r="D170" s="1020"/>
      <c r="E170" s="1020"/>
      <c r="F170" s="37">
        <f>SUM(F164:F169)</f>
        <v>100</v>
      </c>
      <c r="G170" s="1080">
        <f>SUM(G164:G169)</f>
        <v>0</v>
      </c>
      <c r="H170" s="727"/>
      <c r="I170" s="1028"/>
      <c r="J170" s="1028"/>
      <c r="K170" s="1029"/>
      <c r="L170" s="1029"/>
      <c r="M170" s="1029"/>
      <c r="N170" s="1029"/>
      <c r="O170" s="687"/>
      <c r="P170" s="687"/>
      <c r="Q170" s="687"/>
      <c r="R170" s="687"/>
      <c r="S170" s="687"/>
      <c r="T170" s="687"/>
      <c r="U170" s="687"/>
      <c r="V170" s="687"/>
      <c r="W170" s="687"/>
      <c r="X170" s="687"/>
      <c r="Y170" s="687"/>
      <c r="Z170" s="687"/>
    </row>
    <row r="171" spans="1:26" s="683" customFormat="1" ht="16.899999999999999" customHeight="1" x14ac:dyDescent="0.2">
      <c r="A171" s="1021"/>
      <c r="B171" s="1021"/>
      <c r="C171" s="1021"/>
      <c r="D171" s="1021"/>
      <c r="E171" s="1021"/>
      <c r="H171" s="677"/>
      <c r="I171" s="1022"/>
      <c r="J171" s="1022"/>
      <c r="K171" s="1023"/>
      <c r="L171" s="1023"/>
      <c r="M171" s="1023"/>
      <c r="N171" s="1023"/>
    </row>
    <row r="172" spans="1:26" s="682" customFormat="1" ht="16.899999999999999" customHeight="1" x14ac:dyDescent="0.2">
      <c r="A172" s="1019"/>
      <c r="B172" s="1019"/>
      <c r="C172" s="1019"/>
      <c r="D172" s="1019"/>
      <c r="E172" s="1019"/>
      <c r="H172" s="677"/>
      <c r="I172" s="1024"/>
      <c r="J172" s="1024"/>
      <c r="K172" s="1025"/>
      <c r="L172" s="1025"/>
      <c r="M172" s="1025"/>
      <c r="N172" s="1025"/>
    </row>
    <row r="173" spans="1:26" s="682" customFormat="1" ht="16.899999999999999" customHeight="1" x14ac:dyDescent="0.2">
      <c r="A173" s="1019"/>
      <c r="B173" s="1019"/>
      <c r="C173" s="1019"/>
      <c r="D173" s="1019"/>
      <c r="E173" s="1019"/>
      <c r="H173" s="677"/>
      <c r="I173" s="1024"/>
      <c r="J173" s="1024"/>
      <c r="K173" s="1025"/>
      <c r="L173" s="1025"/>
      <c r="M173" s="1025"/>
      <c r="N173" s="1025"/>
    </row>
    <row r="174" spans="1:26" s="682" customFormat="1" ht="16.899999999999999" customHeight="1" x14ac:dyDescent="0.2">
      <c r="A174" s="1019"/>
      <c r="B174" s="1019"/>
      <c r="C174" s="1019"/>
      <c r="D174" s="1019"/>
      <c r="E174" s="1019"/>
      <c r="H174" s="677"/>
      <c r="I174" s="1024"/>
      <c r="J174" s="1024"/>
      <c r="K174" s="1025"/>
      <c r="L174" s="1025"/>
      <c r="M174" s="1025"/>
      <c r="N174" s="1025"/>
    </row>
    <row r="175" spans="1:26" s="682" customFormat="1" ht="16.899999999999999" customHeight="1" x14ac:dyDescent="0.2">
      <c r="B175" s="718"/>
      <c r="C175" s="1017"/>
      <c r="D175" s="1018"/>
      <c r="E175" s="1018"/>
      <c r="F175" s="1018"/>
      <c r="G175" s="1018"/>
      <c r="H175" s="677"/>
      <c r="I175" s="1024"/>
      <c r="J175" s="1024"/>
      <c r="K175" s="1025"/>
      <c r="L175" s="1025"/>
      <c r="M175" s="1025"/>
      <c r="N175" s="1025"/>
    </row>
    <row r="176" spans="1:26" s="682" customFormat="1" ht="16.899999999999999" customHeight="1" x14ac:dyDescent="0.2">
      <c r="B176" s="718"/>
      <c r="C176" s="1017"/>
      <c r="D176" s="1018"/>
      <c r="E176" s="1018"/>
      <c r="F176" s="1018"/>
      <c r="G176" s="1018"/>
      <c r="H176" s="677"/>
      <c r="I176" s="1024"/>
      <c r="J176" s="1024"/>
      <c r="K176" s="1025"/>
      <c r="L176" s="1025"/>
      <c r="M176" s="1025"/>
      <c r="N176" s="1025"/>
    </row>
    <row r="177" spans="2:14" s="682" customFormat="1" ht="16.899999999999999" customHeight="1" x14ac:dyDescent="0.2">
      <c r="B177" s="718"/>
      <c r="C177" s="1017"/>
      <c r="D177" s="1018"/>
      <c r="E177" s="1018"/>
      <c r="F177" s="1018"/>
      <c r="G177" s="1018"/>
      <c r="H177" s="677"/>
      <c r="I177" s="1024"/>
      <c r="J177" s="1024"/>
      <c r="K177" s="1025"/>
      <c r="L177" s="1025"/>
      <c r="M177" s="1025"/>
      <c r="N177" s="1025"/>
    </row>
    <row r="178" spans="2:14" s="682" customFormat="1" ht="16.899999999999999" customHeight="1" x14ac:dyDescent="0.2">
      <c r="B178" s="718"/>
      <c r="C178" s="1017"/>
      <c r="D178" s="1018"/>
      <c r="E178" s="1018"/>
      <c r="F178" s="1018"/>
      <c r="G178" s="1018"/>
      <c r="H178" s="677"/>
      <c r="I178" s="1024"/>
      <c r="J178" s="1024"/>
      <c r="K178" s="1025"/>
      <c r="L178" s="1025"/>
      <c r="M178" s="1025"/>
      <c r="N178" s="1025"/>
    </row>
    <row r="179" spans="2:14" s="682" customFormat="1" ht="16.899999999999999" customHeight="1" x14ac:dyDescent="0.2">
      <c r="B179" s="718"/>
      <c r="C179" s="1017"/>
      <c r="D179" s="1018"/>
      <c r="E179" s="1018"/>
      <c r="F179" s="1018"/>
      <c r="G179" s="1018"/>
      <c r="H179" s="677"/>
      <c r="I179" s="1024"/>
      <c r="J179" s="1024"/>
      <c r="K179" s="1025"/>
      <c r="L179" s="1025"/>
      <c r="M179" s="1025"/>
      <c r="N179" s="1025"/>
    </row>
    <row r="180" spans="2:14" s="682" customFormat="1" ht="16.899999999999999" customHeight="1" x14ac:dyDescent="0.2">
      <c r="B180" s="718"/>
      <c r="C180" s="1017"/>
      <c r="D180" s="1018"/>
      <c r="E180" s="1018"/>
      <c r="F180" s="1018"/>
      <c r="G180" s="1018"/>
      <c r="H180" s="677"/>
      <c r="I180" s="1024"/>
      <c r="J180" s="1024"/>
      <c r="K180" s="1025"/>
      <c r="L180" s="1025"/>
      <c r="M180" s="1025"/>
      <c r="N180" s="1025"/>
    </row>
    <row r="181" spans="2:14" s="682" customFormat="1" ht="16.899999999999999" customHeight="1" x14ac:dyDescent="0.2">
      <c r="B181" s="718"/>
      <c r="C181" s="1017"/>
      <c r="D181" s="1018"/>
      <c r="E181" s="1018"/>
      <c r="F181" s="1018"/>
      <c r="G181" s="1018"/>
      <c r="H181" s="677"/>
      <c r="I181" s="1024"/>
      <c r="J181" s="1024"/>
      <c r="K181" s="1025"/>
      <c r="L181" s="1025"/>
      <c r="M181" s="1025"/>
      <c r="N181" s="1025"/>
    </row>
    <row r="182" spans="2:14" s="682" customFormat="1" ht="16.899999999999999" customHeight="1" x14ac:dyDescent="0.2">
      <c r="B182" s="718"/>
      <c r="C182" s="1017"/>
      <c r="D182" s="1018"/>
      <c r="E182" s="1018"/>
      <c r="F182" s="1018"/>
      <c r="G182" s="1018"/>
      <c r="H182" s="677"/>
      <c r="I182" s="1024"/>
      <c r="J182" s="1024"/>
      <c r="K182" s="1025"/>
      <c r="L182" s="1025"/>
      <c r="M182" s="1025"/>
      <c r="N182" s="1025"/>
    </row>
    <row r="183" spans="2:14" s="682" customFormat="1" ht="16.899999999999999" customHeight="1" x14ac:dyDescent="0.2">
      <c r="B183" s="718"/>
      <c r="C183" s="1017"/>
      <c r="D183" s="1018"/>
      <c r="E183" s="1018"/>
      <c r="F183" s="1018"/>
      <c r="G183" s="1018"/>
      <c r="H183" s="677"/>
      <c r="I183" s="1024"/>
      <c r="J183" s="1024"/>
      <c r="K183" s="1025"/>
      <c r="L183" s="1025"/>
      <c r="M183" s="1025"/>
      <c r="N183" s="1025"/>
    </row>
    <row r="184" spans="2:14" s="682" customFormat="1" ht="16.899999999999999" customHeight="1" x14ac:dyDescent="0.2">
      <c r="B184" s="718"/>
      <c r="C184" s="1017"/>
      <c r="D184" s="1018"/>
      <c r="E184" s="1018"/>
      <c r="F184" s="1018"/>
      <c r="G184" s="1018"/>
      <c r="H184" s="677"/>
      <c r="I184" s="1024"/>
      <c r="J184" s="1024"/>
      <c r="K184" s="1025"/>
      <c r="L184" s="1025"/>
      <c r="M184" s="1025"/>
      <c r="N184" s="1025"/>
    </row>
    <row r="185" spans="2:14" s="682" customFormat="1" ht="16.899999999999999" customHeight="1" x14ac:dyDescent="0.2">
      <c r="B185" s="718"/>
      <c r="C185" s="1017"/>
      <c r="D185" s="1018"/>
      <c r="E185" s="1018"/>
      <c r="F185" s="1018"/>
      <c r="G185" s="1018"/>
      <c r="H185" s="677"/>
      <c r="I185" s="1024"/>
      <c r="J185" s="1024"/>
      <c r="K185" s="1025"/>
      <c r="L185" s="1025"/>
      <c r="M185" s="1025"/>
      <c r="N185" s="1025"/>
    </row>
    <row r="186" spans="2:14" s="682" customFormat="1" ht="16.899999999999999" customHeight="1" x14ac:dyDescent="0.2">
      <c r="B186" s="718"/>
      <c r="C186" s="1017"/>
      <c r="D186" s="1018"/>
      <c r="E186" s="1018"/>
      <c r="F186" s="1018"/>
      <c r="G186" s="1018"/>
      <c r="H186" s="677"/>
      <c r="I186" s="1024"/>
      <c r="J186" s="1024"/>
      <c r="K186" s="1025"/>
      <c r="L186" s="1025"/>
      <c r="M186" s="1025"/>
      <c r="N186" s="1025"/>
    </row>
    <row r="187" spans="2:14" s="682" customFormat="1" ht="16.899999999999999" customHeight="1" x14ac:dyDescent="0.2">
      <c r="B187" s="718"/>
      <c r="C187" s="1017"/>
      <c r="D187" s="1018"/>
      <c r="E187" s="1018"/>
      <c r="F187" s="1018"/>
      <c r="G187" s="1018"/>
      <c r="H187" s="677"/>
      <c r="I187" s="1024"/>
      <c r="J187" s="1024"/>
      <c r="K187" s="1025"/>
      <c r="L187" s="1025"/>
      <c r="M187" s="1025"/>
      <c r="N187" s="1025"/>
    </row>
    <row r="188" spans="2:14" s="682" customFormat="1" ht="16.899999999999999" customHeight="1" x14ac:dyDescent="0.2">
      <c r="B188" s="718"/>
      <c r="C188" s="1017"/>
      <c r="D188" s="1018"/>
      <c r="E188" s="1018"/>
      <c r="F188" s="1018"/>
      <c r="G188" s="1018"/>
      <c r="H188" s="677"/>
      <c r="I188" s="1024"/>
      <c r="J188" s="1024"/>
      <c r="K188" s="1025"/>
      <c r="L188" s="1025"/>
      <c r="M188" s="1025"/>
      <c r="N188" s="1025"/>
    </row>
    <row r="189" spans="2:14" s="682" customFormat="1" ht="16.899999999999999" customHeight="1" x14ac:dyDescent="0.2">
      <c r="B189" s="718"/>
      <c r="C189" s="1017"/>
      <c r="D189" s="1018"/>
      <c r="E189" s="1018"/>
      <c r="F189" s="1018"/>
      <c r="G189" s="1018"/>
      <c r="H189" s="677"/>
      <c r="I189" s="1024"/>
      <c r="J189" s="1024"/>
      <c r="K189" s="1025"/>
      <c r="L189" s="1025"/>
      <c r="M189" s="1025"/>
      <c r="N189" s="1025"/>
    </row>
    <row r="190" spans="2:14" s="682" customFormat="1" ht="16.899999999999999" customHeight="1" x14ac:dyDescent="0.2">
      <c r="B190" s="718"/>
      <c r="C190" s="1017"/>
      <c r="D190" s="1018"/>
      <c r="E190" s="1018"/>
      <c r="F190" s="1018"/>
      <c r="G190" s="1018"/>
      <c r="H190" s="677"/>
      <c r="I190" s="1024"/>
      <c r="J190" s="1024"/>
      <c r="K190" s="1025"/>
      <c r="L190" s="1025"/>
      <c r="M190" s="1025"/>
      <c r="N190" s="1025"/>
    </row>
    <row r="191" spans="2:14" s="682" customFormat="1" ht="16.899999999999999" customHeight="1" x14ac:dyDescent="0.2">
      <c r="B191" s="718"/>
      <c r="C191" s="1017"/>
      <c r="D191" s="1018"/>
      <c r="E191" s="1018"/>
      <c r="F191" s="1018"/>
      <c r="G191" s="1018"/>
      <c r="H191" s="677"/>
      <c r="I191" s="1024"/>
      <c r="J191" s="1024"/>
      <c r="K191" s="1025"/>
      <c r="L191" s="1025"/>
      <c r="M191" s="1025"/>
      <c r="N191" s="1025"/>
    </row>
    <row r="192" spans="2:14" s="682" customFormat="1" ht="16.899999999999999" customHeight="1" x14ac:dyDescent="0.2">
      <c r="B192" s="718"/>
      <c r="C192" s="1017"/>
      <c r="D192" s="1018"/>
      <c r="E192" s="1018"/>
      <c r="F192" s="1018"/>
      <c r="G192" s="1018"/>
      <c r="H192" s="677"/>
      <c r="I192" s="1024"/>
      <c r="J192" s="1024"/>
      <c r="K192" s="1025"/>
      <c r="L192" s="1025"/>
      <c r="M192" s="1025"/>
      <c r="N192" s="1025"/>
    </row>
    <row r="193" spans="2:26" s="682" customFormat="1" ht="16.899999999999999" customHeight="1" x14ac:dyDescent="0.2">
      <c r="B193" s="718"/>
      <c r="C193" s="1017"/>
      <c r="D193" s="1018"/>
      <c r="E193" s="1018"/>
      <c r="F193" s="1018"/>
      <c r="G193" s="1018"/>
      <c r="H193" s="677"/>
      <c r="I193" s="1024"/>
      <c r="J193" s="1024"/>
      <c r="K193" s="1025"/>
      <c r="L193" s="1025"/>
      <c r="M193" s="1025"/>
      <c r="N193" s="1025"/>
    </row>
    <row r="194" spans="2:26" s="682" customFormat="1" ht="16.899999999999999" customHeight="1" x14ac:dyDescent="0.2">
      <c r="B194" s="718"/>
      <c r="C194" s="1017"/>
      <c r="D194" s="1018"/>
      <c r="E194" s="1018"/>
      <c r="F194" s="1018"/>
      <c r="G194" s="1018"/>
      <c r="H194" s="677"/>
      <c r="I194" s="1024"/>
      <c r="J194" s="1024"/>
      <c r="K194" s="1025"/>
      <c r="L194" s="1025"/>
      <c r="M194" s="1025"/>
      <c r="N194" s="1025"/>
    </row>
    <row r="195" spans="2:26" s="682" customFormat="1" ht="16.899999999999999" customHeight="1" x14ac:dyDescent="0.2">
      <c r="B195" s="718"/>
      <c r="C195" s="1017"/>
      <c r="D195" s="1018"/>
      <c r="E195" s="1018"/>
      <c r="F195" s="1018"/>
      <c r="G195" s="1018"/>
      <c r="H195" s="677"/>
      <c r="I195" s="1024"/>
      <c r="J195" s="1024"/>
      <c r="K195" s="1025"/>
      <c r="L195" s="1025"/>
      <c r="M195" s="1025"/>
      <c r="N195" s="1025"/>
    </row>
    <row r="196" spans="2:26" s="682" customFormat="1" ht="16.899999999999999" customHeight="1" x14ac:dyDescent="0.2">
      <c r="B196" s="718"/>
      <c r="C196" s="1017"/>
      <c r="D196" s="1018"/>
      <c r="E196" s="1018"/>
      <c r="F196" s="1018"/>
      <c r="G196" s="1018"/>
      <c r="H196" s="677"/>
      <c r="I196" s="1024"/>
      <c r="J196" s="1024"/>
      <c r="K196" s="1025"/>
      <c r="L196" s="1025"/>
      <c r="M196" s="1025"/>
      <c r="N196" s="1025"/>
    </row>
    <row r="197" spans="2:26" s="682" customFormat="1" ht="16.899999999999999" customHeight="1" x14ac:dyDescent="0.2">
      <c r="B197" s="718"/>
      <c r="C197" s="1017"/>
      <c r="D197" s="1018"/>
      <c r="E197" s="1018"/>
      <c r="F197" s="1018"/>
      <c r="G197" s="1018"/>
      <c r="H197" s="677"/>
      <c r="I197" s="1024"/>
      <c r="J197" s="1024"/>
      <c r="K197" s="1025"/>
      <c r="L197" s="1025"/>
      <c r="M197" s="1025"/>
      <c r="N197" s="1025"/>
    </row>
    <row r="198" spans="2:26" s="682" customFormat="1" ht="16.899999999999999" customHeight="1" x14ac:dyDescent="0.2">
      <c r="B198" s="718"/>
      <c r="C198" s="1017"/>
      <c r="D198" s="1018"/>
      <c r="E198" s="1018"/>
      <c r="F198" s="1018"/>
      <c r="G198" s="1018"/>
      <c r="H198" s="677"/>
      <c r="I198" s="1024"/>
      <c r="J198" s="1024"/>
      <c r="K198" s="1025"/>
      <c r="L198" s="1025"/>
      <c r="M198" s="1025"/>
      <c r="N198" s="1025"/>
    </row>
    <row r="199" spans="2:26" s="682" customFormat="1" ht="16.899999999999999" customHeight="1" x14ac:dyDescent="0.2">
      <c r="B199" s="718"/>
      <c r="C199" s="1017"/>
      <c r="D199" s="1018"/>
      <c r="E199" s="1018"/>
      <c r="F199" s="1018"/>
      <c r="G199" s="1018"/>
      <c r="H199" s="677"/>
      <c r="I199" s="1024"/>
      <c r="J199" s="1024"/>
      <c r="K199" s="1025"/>
      <c r="L199" s="1025"/>
      <c r="M199" s="1025"/>
      <c r="N199" s="1025"/>
    </row>
    <row r="200" spans="2:26" s="682" customFormat="1" ht="16.899999999999999" customHeight="1" x14ac:dyDescent="0.2">
      <c r="B200" s="718"/>
      <c r="C200" s="1017"/>
      <c r="D200" s="1018"/>
      <c r="E200" s="1018"/>
      <c r="F200" s="1018"/>
      <c r="G200" s="1018"/>
      <c r="H200" s="677"/>
      <c r="I200" s="1024"/>
      <c r="J200" s="1024"/>
      <c r="K200" s="1025"/>
      <c r="L200" s="1025"/>
      <c r="M200" s="1025"/>
      <c r="N200" s="1025"/>
    </row>
    <row r="201" spans="2:26" s="10" customFormat="1" ht="16.899999999999999" customHeight="1" x14ac:dyDescent="0.2">
      <c r="B201" s="32"/>
      <c r="C201" s="53"/>
      <c r="D201" s="21"/>
      <c r="E201" s="21"/>
      <c r="F201" s="21"/>
      <c r="G201" s="21"/>
      <c r="H201" s="193"/>
      <c r="I201" s="63"/>
      <c r="J201" s="63"/>
      <c r="K201" s="420"/>
      <c r="L201" s="420"/>
      <c r="M201" s="420"/>
      <c r="N201" s="420"/>
      <c r="O201" s="87"/>
      <c r="P201" s="682"/>
      <c r="Q201" s="682"/>
      <c r="R201" s="682"/>
      <c r="S201" s="682"/>
      <c r="T201" s="682"/>
      <c r="U201" s="682"/>
      <c r="V201" s="682"/>
      <c r="W201" s="682"/>
      <c r="X201" s="682"/>
      <c r="Y201" s="682"/>
      <c r="Z201" s="682"/>
    </row>
    <row r="202" spans="2:26" s="10" customFormat="1" ht="16.899999999999999" customHeight="1" x14ac:dyDescent="0.2">
      <c r="B202" s="32"/>
      <c r="C202" s="53"/>
      <c r="D202" s="21"/>
      <c r="E202" s="21"/>
      <c r="F202" s="21"/>
      <c r="G202" s="21"/>
      <c r="H202" s="193"/>
      <c r="I202" s="63"/>
      <c r="J202" s="63"/>
      <c r="K202" s="420"/>
      <c r="L202" s="420"/>
      <c r="M202" s="420"/>
      <c r="N202" s="420"/>
      <c r="O202" s="87"/>
      <c r="P202" s="682"/>
      <c r="Q202" s="682"/>
      <c r="R202" s="682"/>
      <c r="S202" s="682"/>
      <c r="T202" s="682"/>
      <c r="U202" s="682"/>
      <c r="V202" s="682"/>
      <c r="W202" s="682"/>
      <c r="X202" s="682"/>
      <c r="Y202" s="682"/>
      <c r="Z202" s="682"/>
    </row>
    <row r="203" spans="2:26" s="10" customFormat="1" ht="16.899999999999999" customHeight="1" x14ac:dyDescent="0.2">
      <c r="B203" s="32"/>
      <c r="C203" s="53"/>
      <c r="D203" s="21"/>
      <c r="E203" s="21"/>
      <c r="F203" s="21"/>
      <c r="G203" s="21"/>
      <c r="H203" s="193"/>
      <c r="I203" s="63"/>
      <c r="J203" s="63"/>
      <c r="K203" s="420"/>
      <c r="L203" s="420"/>
      <c r="M203" s="420"/>
      <c r="N203" s="420"/>
      <c r="O203" s="87"/>
      <c r="P203" s="682"/>
      <c r="Q203" s="682"/>
      <c r="R203" s="682"/>
      <c r="S203" s="682"/>
      <c r="T203" s="682"/>
      <c r="U203" s="682"/>
      <c r="V203" s="682"/>
      <c r="W203" s="682"/>
      <c r="X203" s="682"/>
      <c r="Y203" s="682"/>
      <c r="Z203" s="682"/>
    </row>
    <row r="204" spans="2:26" s="10" customFormat="1" ht="16.899999999999999" customHeight="1" x14ac:dyDescent="0.2">
      <c r="B204" s="32"/>
      <c r="C204" s="53"/>
      <c r="D204" s="21"/>
      <c r="E204" s="21"/>
      <c r="F204" s="21"/>
      <c r="G204" s="21"/>
      <c r="H204" s="193"/>
      <c r="I204" s="63"/>
      <c r="J204" s="63"/>
      <c r="K204" s="420"/>
      <c r="L204" s="420"/>
      <c r="M204" s="420"/>
      <c r="N204" s="420"/>
      <c r="O204" s="87"/>
      <c r="P204" s="682"/>
      <c r="Q204" s="682"/>
      <c r="R204" s="682"/>
      <c r="S204" s="682"/>
      <c r="T204" s="682"/>
      <c r="U204" s="682"/>
      <c r="V204" s="682"/>
      <c r="W204" s="682"/>
      <c r="X204" s="682"/>
      <c r="Y204" s="682"/>
      <c r="Z204" s="682"/>
    </row>
    <row r="205" spans="2:26" s="10" customFormat="1" ht="16.899999999999999" customHeight="1" x14ac:dyDescent="0.2">
      <c r="B205" s="32"/>
      <c r="C205" s="53"/>
      <c r="D205" s="21"/>
      <c r="E205" s="21"/>
      <c r="F205" s="21"/>
      <c r="G205" s="21"/>
      <c r="H205" s="193"/>
      <c r="I205" s="63"/>
      <c r="J205" s="63"/>
      <c r="K205" s="420"/>
      <c r="L205" s="420"/>
      <c r="M205" s="420"/>
      <c r="N205" s="420"/>
      <c r="O205" s="87"/>
      <c r="P205" s="682"/>
      <c r="Q205" s="682"/>
      <c r="R205" s="682"/>
      <c r="S205" s="682"/>
      <c r="T205" s="682"/>
      <c r="U205" s="682"/>
      <c r="V205" s="682"/>
      <c r="W205" s="682"/>
      <c r="X205" s="682"/>
      <c r="Y205" s="682"/>
      <c r="Z205" s="682"/>
    </row>
    <row r="206" spans="2:26" s="10" customFormat="1" ht="16.899999999999999" customHeight="1" x14ac:dyDescent="0.2">
      <c r="B206" s="32"/>
      <c r="C206" s="53"/>
      <c r="D206" s="21"/>
      <c r="E206" s="21"/>
      <c r="F206" s="21"/>
      <c r="G206" s="21"/>
      <c r="H206" s="193"/>
      <c r="I206" s="63"/>
      <c r="J206" s="63"/>
      <c r="K206" s="420"/>
      <c r="L206" s="420"/>
      <c r="M206" s="420"/>
      <c r="N206" s="420"/>
      <c r="O206" s="87"/>
      <c r="P206" s="682"/>
      <c r="Q206" s="682"/>
      <c r="R206" s="682"/>
      <c r="S206" s="682"/>
      <c r="T206" s="682"/>
      <c r="U206" s="682"/>
      <c r="V206" s="682"/>
      <c r="W206" s="682"/>
      <c r="X206" s="682"/>
      <c r="Y206" s="682"/>
      <c r="Z206" s="682"/>
    </row>
    <row r="207" spans="2:26" s="10" customFormat="1" ht="16.899999999999999" customHeight="1" x14ac:dyDescent="0.2">
      <c r="B207" s="32"/>
      <c r="C207" s="53"/>
      <c r="D207" s="21"/>
      <c r="E207" s="21"/>
      <c r="F207" s="21"/>
      <c r="G207" s="21"/>
      <c r="H207" s="193"/>
      <c r="I207" s="63"/>
      <c r="J207" s="63"/>
      <c r="K207" s="420"/>
      <c r="L207" s="420"/>
      <c r="M207" s="420"/>
      <c r="N207" s="420"/>
      <c r="O207" s="87"/>
      <c r="P207" s="682"/>
      <c r="Q207" s="682"/>
      <c r="R207" s="682"/>
      <c r="S207" s="682"/>
      <c r="T207" s="682"/>
      <c r="U207" s="682"/>
      <c r="V207" s="682"/>
      <c r="W207" s="682"/>
      <c r="X207" s="682"/>
      <c r="Y207" s="682"/>
      <c r="Z207" s="682"/>
    </row>
  </sheetData>
  <mergeCells count="10">
    <mergeCell ref="O69:O70"/>
    <mergeCell ref="A163:E163"/>
    <mergeCell ref="A169:E169"/>
    <mergeCell ref="O71:O81"/>
    <mergeCell ref="O8:O9"/>
    <mergeCell ref="O12:O20"/>
    <mergeCell ref="O22:O28"/>
    <mergeCell ref="O36:O43"/>
    <mergeCell ref="O45:O50"/>
    <mergeCell ref="O54:O62"/>
  </mergeCells>
  <phoneticPr fontId="8" type="noConversion"/>
  <printOptions horizontalCentered="1"/>
  <pageMargins left="0.1" right="0.1" top="0.5" bottom="0.25" header="0.25" footer="0.25"/>
  <headerFooter alignWithMargins="0"/>
  <rowBreaks count="5" manualBreakCount="5">
    <brk id="30" max="16383" man="1"/>
    <brk id="67" max="16383" man="1"/>
    <brk id="97" max="13" man="1"/>
    <brk id="128" max="16383" man="1"/>
    <brk id="138" max="13" man="1"/>
  </rowBreaks>
  <ignoredErrors>
    <ignoredError sqref="B20" formulaRange="1"/>
    <ignoredError sqref="I50:N50 C96:G96 I44:N44" formula="1"/>
  </ignoredErrors>
  <drawing r:id="rId1"/>
  <legacy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6600"/>
  </sheetPr>
  <dimension ref="A1:AA225"/>
  <sheetViews>
    <sheetView topLeftCell="A43" zoomScaleSheetLayoutView="100" workbookViewId="0">
      <selection activeCell="F134" sqref="F134"/>
    </sheetView>
  </sheetViews>
  <sheetFormatPr defaultColWidth="9.140625" defaultRowHeight="16.5" customHeight="1" x14ac:dyDescent="0.2"/>
  <cols>
    <col min="1" max="1" width="50" style="31" bestFit="1" customWidth="1"/>
    <col min="2" max="2" width="0.140625" style="32" customWidth="1"/>
    <col min="3" max="6" width="8.5703125" style="32" customWidth="1"/>
    <col min="7" max="7" width="8.5703125" style="31" customWidth="1"/>
    <col min="8" max="8" width="0.85546875" style="193" customWidth="1"/>
    <col min="9" max="10" width="8.5703125" style="27" customWidth="1"/>
    <col min="11" max="11" width="52.5703125" style="99" customWidth="1"/>
    <col min="12" max="12" width="9.42578125" style="32" customWidth="1"/>
    <col min="13" max="13" width="10.42578125" style="32" customWidth="1"/>
    <col min="14" max="14" width="11" style="32" customWidth="1"/>
    <col min="15" max="15" width="9.42578125" style="32" customWidth="1"/>
    <col min="16" max="16" width="9.42578125" style="31" customWidth="1"/>
    <col min="17" max="17" width="9.42578125" style="87" customWidth="1"/>
    <col min="18" max="27" width="8.5703125" style="87" customWidth="1"/>
    <col min="28" max="256" width="8.5703125" style="10" customWidth="1"/>
    <col min="257" max="16384" width="9.140625" style="10"/>
  </cols>
  <sheetData>
    <row r="1" spans="1:27" s="7" customFormat="1" ht="16.5" customHeight="1" x14ac:dyDescent="0.2">
      <c r="A1" s="36"/>
      <c r="B1" s="41"/>
      <c r="C1" s="41"/>
      <c r="D1" s="41"/>
      <c r="E1" s="41"/>
      <c r="F1" s="41"/>
      <c r="G1" s="36"/>
      <c r="H1" s="193"/>
      <c r="I1" s="22"/>
      <c r="J1" s="22"/>
      <c r="K1" s="680"/>
      <c r="L1" s="41"/>
      <c r="M1" s="41"/>
      <c r="N1" s="41"/>
      <c r="O1" s="41"/>
      <c r="P1" s="36"/>
      <c r="Q1" s="82"/>
      <c r="R1" s="82" t="s">
        <v>1075</v>
      </c>
      <c r="S1" s="82" t="s">
        <v>1075</v>
      </c>
      <c r="T1" s="82" t="s">
        <v>1075</v>
      </c>
      <c r="U1" s="82" t="s">
        <v>1075</v>
      </c>
      <c r="V1" s="82" t="s">
        <v>1075</v>
      </c>
      <c r="W1" s="82" t="s">
        <v>1075</v>
      </c>
      <c r="X1" s="82" t="s">
        <v>1075</v>
      </c>
      <c r="Y1" s="82" t="s">
        <v>1075</v>
      </c>
      <c r="Z1" s="82" t="s">
        <v>1075</v>
      </c>
      <c r="AA1" s="82"/>
    </row>
    <row r="2" spans="1:27" s="7" customFormat="1" ht="16.5" customHeight="1" x14ac:dyDescent="0.2">
      <c r="A2" s="36"/>
      <c r="B2" s="41"/>
      <c r="C2" s="41"/>
      <c r="D2" s="41"/>
      <c r="E2" s="41"/>
      <c r="F2" s="41"/>
      <c r="G2" s="36"/>
      <c r="H2" s="193"/>
      <c r="I2" s="22"/>
      <c r="J2" s="22"/>
      <c r="K2" s="680"/>
      <c r="L2" s="41"/>
      <c r="M2" s="41"/>
      <c r="N2" s="41"/>
      <c r="O2" s="41"/>
      <c r="P2" s="36"/>
      <c r="Q2" s="82"/>
      <c r="R2" s="82"/>
      <c r="S2" s="82"/>
      <c r="T2" s="82"/>
      <c r="U2" s="82"/>
      <c r="V2" s="82"/>
      <c r="W2" s="82"/>
      <c r="X2" s="82"/>
      <c r="Y2" s="82"/>
      <c r="Z2" s="82"/>
      <c r="AA2" s="82"/>
    </row>
    <row r="3" spans="1:27" s="82" customFormat="1" ht="16.5" customHeight="1" x14ac:dyDescent="0.2">
      <c r="B3" s="193"/>
      <c r="C3" s="193"/>
      <c r="D3" s="193"/>
      <c r="E3" s="193"/>
      <c r="F3" s="193"/>
      <c r="H3" s="193"/>
      <c r="I3" s="193"/>
      <c r="J3" s="193"/>
      <c r="K3" s="204"/>
      <c r="L3" s="193"/>
      <c r="M3" s="193"/>
      <c r="N3" s="193"/>
      <c r="O3" s="193"/>
    </row>
    <row r="4" spans="1:27" s="82" customFormat="1" ht="16.5" customHeight="1" x14ac:dyDescent="0.2">
      <c r="B4" s="193"/>
      <c r="C4" s="193"/>
      <c r="D4" s="193"/>
      <c r="E4" s="193"/>
      <c r="F4" s="193"/>
      <c r="H4" s="193"/>
      <c r="I4" s="193"/>
      <c r="J4" s="193"/>
      <c r="K4" s="204"/>
      <c r="L4" s="193"/>
      <c r="M4" s="193"/>
      <c r="N4" s="193"/>
      <c r="O4" s="193"/>
    </row>
    <row r="5" spans="1:27" s="82" customFormat="1" ht="16.5" customHeight="1" x14ac:dyDescent="0.2">
      <c r="B5" s="193"/>
      <c r="C5" s="193"/>
      <c r="D5" s="193"/>
      <c r="E5" s="193"/>
      <c r="F5" s="193"/>
      <c r="H5" s="193"/>
      <c r="I5" s="193"/>
      <c r="J5" s="193"/>
      <c r="K5" s="204"/>
      <c r="L5" s="193"/>
      <c r="M5" s="193"/>
      <c r="N5" s="193"/>
      <c r="O5" s="193"/>
    </row>
    <row r="6" spans="1:27" s="82" customFormat="1" ht="16.5" customHeight="1" x14ac:dyDescent="0.2">
      <c r="A6" s="201"/>
      <c r="B6" s="193"/>
      <c r="C6" s="193"/>
      <c r="D6" s="193"/>
      <c r="E6" s="193"/>
      <c r="F6" s="193"/>
      <c r="H6" s="193"/>
      <c r="I6" s="193"/>
      <c r="J6" s="193"/>
      <c r="K6" s="204"/>
      <c r="L6" s="193"/>
      <c r="M6" s="193"/>
      <c r="N6" s="193"/>
      <c r="O6" s="193"/>
    </row>
    <row r="7" spans="1:27" s="568" customFormat="1" ht="16.5" customHeight="1" x14ac:dyDescent="0.2">
      <c r="A7" s="579" t="s">
        <v>138</v>
      </c>
      <c r="B7" s="580"/>
      <c r="C7" s="581"/>
      <c r="D7" s="581"/>
      <c r="E7" s="581"/>
      <c r="F7" s="581"/>
      <c r="G7" s="581"/>
      <c r="H7" s="609"/>
      <c r="I7" s="581"/>
      <c r="J7" s="581"/>
      <c r="K7" s="582"/>
      <c r="R7" s="500"/>
      <c r="S7" s="500"/>
      <c r="T7" s="500"/>
      <c r="U7" s="500"/>
      <c r="V7" s="500"/>
      <c r="W7" s="500"/>
      <c r="X7" s="500"/>
      <c r="Y7" s="500"/>
      <c r="Z7" s="500"/>
    </row>
    <row r="8" spans="1:27" s="7" customFormat="1" ht="16.5" customHeight="1" x14ac:dyDescent="0.2">
      <c r="A8" s="82"/>
      <c r="B8" s="578"/>
      <c r="C8" s="222"/>
      <c r="D8" s="222"/>
      <c r="E8" s="222"/>
      <c r="F8" s="222"/>
      <c r="G8" s="222"/>
      <c r="H8" s="202"/>
      <c r="I8" s="202"/>
      <c r="J8" s="202"/>
      <c r="K8" s="203"/>
      <c r="L8" s="317">
        <f>G10</f>
        <v>2015</v>
      </c>
      <c r="M8" s="318"/>
      <c r="N8" s="318"/>
      <c r="O8" s="318"/>
      <c r="P8" s="318"/>
      <c r="Q8" s="319"/>
      <c r="R8" s="82"/>
      <c r="S8" s="82"/>
      <c r="T8" s="82"/>
      <c r="U8" s="82"/>
      <c r="V8" s="82"/>
      <c r="W8" s="82"/>
      <c r="X8" s="82"/>
      <c r="Y8" s="82"/>
      <c r="Z8" s="82"/>
      <c r="AA8" s="82"/>
    </row>
    <row r="9" spans="1:27" s="7" customFormat="1" ht="18" customHeight="1" x14ac:dyDescent="0.2">
      <c r="A9" s="679" t="s">
        <v>42</v>
      </c>
      <c r="B9" s="1317" t="s">
        <v>606</v>
      </c>
      <c r="C9" s="1318"/>
      <c r="D9" s="1318"/>
      <c r="E9" s="1318"/>
      <c r="F9" s="1318"/>
      <c r="G9" s="1318"/>
      <c r="H9" s="293"/>
      <c r="I9" s="1304" t="s">
        <v>1079</v>
      </c>
      <c r="J9" s="1304" t="s">
        <v>140</v>
      </c>
      <c r="K9" s="1284" t="s">
        <v>376</v>
      </c>
      <c r="L9" s="1308" t="s">
        <v>284</v>
      </c>
      <c r="M9" s="1306" t="s">
        <v>1086</v>
      </c>
      <c r="N9" s="1306" t="s">
        <v>1082</v>
      </c>
      <c r="O9" s="1306" t="s">
        <v>1081</v>
      </c>
      <c r="P9" s="1306" t="s">
        <v>1084</v>
      </c>
      <c r="Q9" s="1306" t="s">
        <v>1088</v>
      </c>
      <c r="R9" s="82"/>
      <c r="S9" s="82"/>
      <c r="T9" s="82"/>
      <c r="U9" s="82"/>
      <c r="V9" s="82"/>
      <c r="W9" s="82"/>
      <c r="X9" s="82"/>
      <c r="Y9" s="82"/>
      <c r="Z9" s="82"/>
      <c r="AA9" s="82"/>
    </row>
    <row r="10" spans="1:27" s="41" customFormat="1" ht="16.5" customHeight="1" x14ac:dyDescent="0.35">
      <c r="A10" s="246" t="s">
        <v>139</v>
      </c>
      <c r="B10" s="103">
        <f>'Common-size FS'!B9</f>
        <v>2010</v>
      </c>
      <c r="C10" s="103">
        <f>B10+1</f>
        <v>2011</v>
      </c>
      <c r="D10" s="103">
        <f>C10+1</f>
        <v>2012</v>
      </c>
      <c r="E10" s="103">
        <f>D10+1</f>
        <v>2013</v>
      </c>
      <c r="F10" s="103">
        <f>E10+1</f>
        <v>2014</v>
      </c>
      <c r="G10" s="103">
        <f>F10+1</f>
        <v>2015</v>
      </c>
      <c r="H10" s="294"/>
      <c r="I10" s="1305"/>
      <c r="J10" s="1305"/>
      <c r="K10" s="1285"/>
      <c r="L10" s="1309"/>
      <c r="M10" s="1307"/>
      <c r="N10" s="1307"/>
      <c r="O10" s="1307"/>
      <c r="P10" s="1307"/>
      <c r="Q10" s="1307"/>
      <c r="R10" s="193"/>
      <c r="S10" s="193"/>
      <c r="T10" s="193"/>
      <c r="U10" s="193"/>
      <c r="V10" s="193"/>
      <c r="W10" s="193"/>
      <c r="X10" s="193"/>
      <c r="Y10" s="193"/>
      <c r="Z10" s="193"/>
      <c r="AA10" s="193"/>
    </row>
    <row r="11" spans="1:27" s="315" customFormat="1" ht="24" customHeight="1" x14ac:dyDescent="0.2">
      <c r="A11" s="278" t="s">
        <v>344</v>
      </c>
      <c r="B11" s="284" t="s">
        <v>47</v>
      </c>
      <c r="C11" s="436">
        <f>ROUND(C12/C13,1)</f>
        <v>1.7</v>
      </c>
      <c r="D11" s="436">
        <f>ROUND(D12/D13,1)</f>
        <v>1.7</v>
      </c>
      <c r="E11" s="436">
        <f>ROUND(E12/E13,1)</f>
        <v>1.6</v>
      </c>
      <c r="F11" s="436">
        <f>ROUND(F12/F13,1)</f>
        <v>1.5</v>
      </c>
      <c r="G11" s="436">
        <f>ROUND(G12/G13,1)</f>
        <v>1</v>
      </c>
      <c r="H11" s="437"/>
      <c r="I11" s="438">
        <f>'Industry Firm Ratios'!B8</f>
        <v>1.93</v>
      </c>
      <c r="J11" s="438">
        <f>'Industry Firm Ratios'!B6</f>
        <v>2</v>
      </c>
      <c r="K11" s="1310" t="s">
        <v>1063</v>
      </c>
      <c r="L11" s="881" t="s">
        <v>769</v>
      </c>
      <c r="M11" s="444"/>
      <c r="N11" s="444"/>
      <c r="O11" s="444"/>
      <c r="P11" s="444"/>
      <c r="Q11" s="444"/>
      <c r="R11" s="153"/>
      <c r="S11" s="153"/>
      <c r="T11" s="153"/>
      <c r="U11" s="153"/>
      <c r="V11" s="153"/>
      <c r="W11" s="153"/>
      <c r="X11" s="153"/>
      <c r="Y11" s="153"/>
      <c r="Z11" s="153"/>
      <c r="AA11" s="153"/>
    </row>
    <row r="12" spans="1:27" ht="16.5" customHeight="1" x14ac:dyDescent="0.2">
      <c r="A12" s="31" t="s">
        <v>68</v>
      </c>
      <c r="B12" s="92" t="s">
        <v>47</v>
      </c>
      <c r="C12" s="32">
        <f>'BS Analysis Adjustments'!AZ14</f>
        <v>6833</v>
      </c>
      <c r="D12" s="32">
        <f>'BS Analysis Adjustments'!BA14</f>
        <v>6510</v>
      </c>
      <c r="E12" s="32">
        <f>'BS Analysis Adjustments'!BB14</f>
        <v>6678</v>
      </c>
      <c r="F12" s="32">
        <f>'BS Analysis Adjustments'!BC14</f>
        <v>7033</v>
      </c>
      <c r="G12" s="32">
        <f>'BS Analysis Adjustments'!BD14</f>
        <v>4705</v>
      </c>
      <c r="I12" s="1299"/>
      <c r="J12" s="1299"/>
      <c r="K12" s="1311"/>
      <c r="L12" s="86"/>
      <c r="M12" s="86"/>
      <c r="N12" s="86"/>
      <c r="O12" s="86"/>
      <c r="P12" s="86"/>
      <c r="Q12" s="86"/>
    </row>
    <row r="13" spans="1:27" ht="16.5" customHeight="1" x14ac:dyDescent="0.2">
      <c r="A13" s="31" t="s">
        <v>70</v>
      </c>
      <c r="B13" s="92" t="s">
        <v>47</v>
      </c>
      <c r="C13" s="32">
        <f>'BS Analysis Adjustments'!AZ35</f>
        <v>3933</v>
      </c>
      <c r="D13" s="32">
        <f>'BS Analysis Adjustments'!BA35</f>
        <v>3752</v>
      </c>
      <c r="E13" s="32">
        <f>'BS Analysis Adjustments'!BB35</f>
        <v>4099</v>
      </c>
      <c r="F13" s="32">
        <f>'BS Analysis Adjustments'!BC35</f>
        <v>4739</v>
      </c>
      <c r="G13" s="32">
        <f>'BS Analysis Adjustments'!BD35</f>
        <v>4758</v>
      </c>
      <c r="I13" s="1301"/>
      <c r="J13" s="1301"/>
      <c r="K13" s="1312"/>
      <c r="L13" s="86"/>
      <c r="M13" s="86"/>
      <c r="N13" s="86"/>
      <c r="O13" s="86"/>
      <c r="P13" s="86"/>
      <c r="Q13" s="86"/>
    </row>
    <row r="14" spans="1:27" s="314" customFormat="1" ht="24" customHeight="1" x14ac:dyDescent="0.2">
      <c r="A14" s="272" t="s">
        <v>345</v>
      </c>
      <c r="B14" s="97" t="s">
        <v>47</v>
      </c>
      <c r="C14" s="439">
        <f>ROUND(C18/C19,1)</f>
        <v>1</v>
      </c>
      <c r="D14" s="439">
        <f>ROUND(D18/D19,1)</f>
        <v>0.9</v>
      </c>
      <c r="E14" s="439">
        <f>ROUND(E18/E19,1)</f>
        <v>0.8</v>
      </c>
      <c r="F14" s="439">
        <f>ROUND(F18/F19,1)</f>
        <v>0.7</v>
      </c>
      <c r="G14" s="439">
        <f>ROUND(G18/G19,1)</f>
        <v>0.2</v>
      </c>
      <c r="H14" s="437"/>
      <c r="I14" s="440">
        <f>'Industry Firm Ratios'!C8</f>
        <v>0.8</v>
      </c>
      <c r="J14" s="440">
        <f>'Industry Firm Ratios'!C6</f>
        <v>0.8</v>
      </c>
      <c r="K14" s="1313" t="s">
        <v>1078</v>
      </c>
      <c r="L14" s="881" t="s">
        <v>770</v>
      </c>
      <c r="M14" s="445"/>
      <c r="N14" s="445"/>
      <c r="O14" s="445"/>
      <c r="P14" s="445"/>
      <c r="Q14" s="445"/>
      <c r="R14" s="313"/>
      <c r="S14" s="313"/>
      <c r="T14" s="313"/>
      <c r="U14" s="313"/>
      <c r="V14" s="313"/>
      <c r="W14" s="313"/>
      <c r="X14" s="313"/>
      <c r="Y14" s="313"/>
      <c r="Z14" s="313"/>
      <c r="AA14" s="313"/>
    </row>
    <row r="15" spans="1:27" ht="16.5" customHeight="1" x14ac:dyDescent="0.2">
      <c r="A15" s="31" t="s">
        <v>44</v>
      </c>
      <c r="B15" s="92" t="s">
        <v>47</v>
      </c>
      <c r="C15" s="32">
        <f>'BS Analysis Adjustments'!AZ6</f>
        <v>1877</v>
      </c>
      <c r="D15" s="32">
        <f>'BS Analysis Adjustments'!BA6</f>
        <v>1285</v>
      </c>
      <c r="E15" s="32">
        <f>'BS Analysis Adjustments'!BB6</f>
        <v>1194</v>
      </c>
      <c r="F15" s="32">
        <f>'BS Analysis Adjustments'!BC6</f>
        <v>827</v>
      </c>
      <c r="G15" s="32">
        <f>'BS Analysis Adjustments'!BD6</f>
        <v>595</v>
      </c>
      <c r="I15" s="1299"/>
      <c r="J15" s="1299"/>
      <c r="K15" s="1314"/>
      <c r="L15" s="86"/>
      <c r="M15" s="86"/>
      <c r="N15" s="86"/>
      <c r="O15" s="86"/>
      <c r="P15" s="86"/>
      <c r="Q15" s="86"/>
    </row>
    <row r="16" spans="1:27" ht="16.5" customHeight="1" x14ac:dyDescent="0.2">
      <c r="A16" s="31" t="s">
        <v>327</v>
      </c>
      <c r="B16" s="92" t="s">
        <v>47</v>
      </c>
      <c r="C16" s="32">
        <f>'BS Analysis Adjustments'!AZ7</f>
        <v>0</v>
      </c>
      <c r="D16" s="32">
        <f>'BS Analysis Adjustments'!BA7</f>
        <v>0</v>
      </c>
      <c r="E16" s="32">
        <f>'BS Analysis Adjustments'!BB7</f>
        <v>0</v>
      </c>
      <c r="F16" s="32">
        <f>'BS Analysis Adjustments'!BC7</f>
        <v>0</v>
      </c>
      <c r="G16" s="32">
        <f>'BS Analysis Adjustments'!BD7</f>
        <v>0</v>
      </c>
      <c r="I16" s="1300"/>
      <c r="J16" s="1300"/>
      <c r="K16" s="1314"/>
      <c r="L16" s="86"/>
      <c r="M16" s="86"/>
      <c r="N16" s="86"/>
      <c r="O16" s="86"/>
      <c r="P16" s="86"/>
      <c r="Q16" s="86"/>
    </row>
    <row r="17" spans="1:27" s="13" customFormat="1" ht="16.5" customHeight="1" x14ac:dyDescent="0.2">
      <c r="A17" s="39" t="s">
        <v>123</v>
      </c>
      <c r="B17" s="277" t="s">
        <v>47</v>
      </c>
      <c r="C17" s="75">
        <f>'BS Analysis Adjustments'!AZ10</f>
        <v>2033</v>
      </c>
      <c r="D17" s="75">
        <f>'BS Analysis Adjustments'!BA10</f>
        <v>2129</v>
      </c>
      <c r="E17" s="75">
        <f>'BS Analysis Adjustments'!BB10</f>
        <v>2177</v>
      </c>
      <c r="F17" s="75">
        <f>'BS Analysis Adjustments'!BC10</f>
        <v>2306</v>
      </c>
      <c r="G17" s="75">
        <f>'BS Analysis Adjustments'!BD10</f>
        <v>196</v>
      </c>
      <c r="H17" s="193"/>
      <c r="I17" s="1300"/>
      <c r="J17" s="1300"/>
      <c r="K17" s="1314"/>
      <c r="L17" s="446"/>
      <c r="M17" s="446"/>
      <c r="N17" s="446"/>
      <c r="O17" s="446"/>
      <c r="P17" s="446"/>
      <c r="Q17" s="446"/>
      <c r="R17" s="88"/>
      <c r="S17" s="88"/>
      <c r="T17" s="88"/>
      <c r="U17" s="88"/>
      <c r="V17" s="88"/>
      <c r="W17" s="88"/>
      <c r="X17" s="88"/>
      <c r="Y17" s="88"/>
      <c r="Z17" s="88"/>
      <c r="AA17" s="88"/>
    </row>
    <row r="18" spans="1:27" s="49" customFormat="1" ht="16.5" customHeight="1" x14ac:dyDescent="0.2">
      <c r="A18" s="89" t="s">
        <v>367</v>
      </c>
      <c r="B18" s="306" t="s">
        <v>47</v>
      </c>
      <c r="C18" s="76">
        <f>SUM(C15:C17)</f>
        <v>3910</v>
      </c>
      <c r="D18" s="76">
        <f>SUM(D15:D17)</f>
        <v>3414</v>
      </c>
      <c r="E18" s="76">
        <f>SUM(E15:E17)</f>
        <v>3371</v>
      </c>
      <c r="F18" s="76">
        <f>SUM(F15:F17)</f>
        <v>3133</v>
      </c>
      <c r="G18" s="76">
        <f>SUM(G15:G17)</f>
        <v>791</v>
      </c>
      <c r="H18" s="193"/>
      <c r="I18" s="1300"/>
      <c r="J18" s="1300"/>
      <c r="K18" s="1314"/>
      <c r="L18" s="447"/>
      <c r="M18" s="447"/>
      <c r="N18" s="447"/>
      <c r="O18" s="447"/>
      <c r="P18" s="447"/>
      <c r="Q18" s="447"/>
      <c r="R18" s="196"/>
      <c r="S18" s="196"/>
      <c r="T18" s="196"/>
      <c r="U18" s="196"/>
      <c r="V18" s="196"/>
      <c r="W18" s="196"/>
      <c r="X18" s="196"/>
      <c r="Y18" s="196"/>
      <c r="Z18" s="196"/>
      <c r="AA18" s="196"/>
    </row>
    <row r="19" spans="1:27" ht="16.5" customHeight="1" x14ac:dyDescent="0.2">
      <c r="A19" s="31" t="s">
        <v>70</v>
      </c>
      <c r="B19" s="92" t="s">
        <v>47</v>
      </c>
      <c r="C19" s="32">
        <f>'BS Analysis Adjustments'!AZ35</f>
        <v>3933</v>
      </c>
      <c r="D19" s="32">
        <f>'BS Analysis Adjustments'!BA35</f>
        <v>3752</v>
      </c>
      <c r="E19" s="32">
        <f>'BS Analysis Adjustments'!BB35</f>
        <v>4099</v>
      </c>
      <c r="F19" s="32">
        <f>'BS Analysis Adjustments'!BC35</f>
        <v>4739</v>
      </c>
      <c r="G19" s="32">
        <f>'BS Analysis Adjustments'!BD35</f>
        <v>4758</v>
      </c>
      <c r="I19" s="1301"/>
      <c r="J19" s="1301"/>
      <c r="K19" s="1315"/>
      <c r="L19" s="86"/>
      <c r="M19" s="86"/>
      <c r="N19" s="86"/>
      <c r="O19" s="86"/>
      <c r="P19" s="86"/>
      <c r="Q19" s="86"/>
    </row>
    <row r="20" spans="1:27" s="314" customFormat="1" ht="24" customHeight="1" x14ac:dyDescent="0.2">
      <c r="A20" s="272" t="s">
        <v>346</v>
      </c>
      <c r="B20" s="90" t="s">
        <v>47</v>
      </c>
      <c r="C20" s="84">
        <f>IF(C22&lt;1,0,ROUND(C22/C24,1))</f>
        <v>67.2</v>
      </c>
      <c r="D20" s="84">
        <f>IF(D22&lt;1,0,ROUND(D22/D24,1))</f>
        <v>61.7</v>
      </c>
      <c r="E20" s="84">
        <f>IF(E22&lt;1,0,ROUND(E22/E24,1))</f>
        <v>61.8</v>
      </c>
      <c r="F20" s="84">
        <f>IF(F22&lt;1,0,ROUND(F22/F24,1))</f>
        <v>59.8</v>
      </c>
      <c r="G20" s="84">
        <f>IF(G22&lt;1,0,ROUND(G22/G24,1))</f>
        <v>31.3</v>
      </c>
      <c r="H20" s="265"/>
      <c r="I20" s="100">
        <f>L20</f>
        <v>6.4</v>
      </c>
      <c r="J20" s="100">
        <f>AVERAGE(G20,L20:Q20)</f>
        <v>8.7666666666666675</v>
      </c>
      <c r="K20" s="1313" t="s">
        <v>1078</v>
      </c>
      <c r="L20" s="84">
        <f>IF(L22&lt;1,0,ROUND(L22/L24,1))</f>
        <v>6.4</v>
      </c>
      <c r="M20" s="84">
        <f t="shared" ref="M20:P20" si="0">IF(M22&lt;1,0,ROUND(M22/M24,1))</f>
        <v>5.6</v>
      </c>
      <c r="N20" s="84">
        <f t="shared" si="0"/>
        <v>2.8</v>
      </c>
      <c r="O20" s="84">
        <f t="shared" si="0"/>
        <v>6.5</v>
      </c>
      <c r="P20" s="84">
        <f t="shared" si="0"/>
        <v>0</v>
      </c>
      <c r="Q20" s="84"/>
      <c r="R20" s="313"/>
      <c r="S20" s="313"/>
      <c r="T20" s="313"/>
      <c r="U20" s="313"/>
      <c r="V20" s="313"/>
      <c r="W20" s="313"/>
      <c r="X20" s="313"/>
      <c r="Y20" s="313"/>
      <c r="Z20" s="313"/>
      <c r="AA20" s="313"/>
    </row>
    <row r="21" spans="1:27" ht="16.5" customHeight="1" x14ac:dyDescent="0.2">
      <c r="A21" s="31" t="s">
        <v>123</v>
      </c>
      <c r="B21" s="32">
        <f>'Common-size FS'!B16</f>
        <v>2026</v>
      </c>
      <c r="C21" s="32">
        <f>'BS Analysis Adjustments'!AZ10</f>
        <v>2033</v>
      </c>
      <c r="D21" s="32">
        <f>'BS Analysis Adjustments'!BA10</f>
        <v>2129</v>
      </c>
      <c r="E21" s="32">
        <f>'BS Analysis Adjustments'!BB10</f>
        <v>2177</v>
      </c>
      <c r="F21" s="32">
        <f>'BS Analysis Adjustments'!BC10</f>
        <v>2306</v>
      </c>
      <c r="G21" s="32">
        <f>'BS Analysis Adjustments'!BD10</f>
        <v>196</v>
      </c>
      <c r="I21" s="1299"/>
      <c r="J21" s="1299"/>
      <c r="K21" s="1314"/>
      <c r="L21" s="320">
        <v>282</v>
      </c>
      <c r="M21" s="320">
        <v>56868</v>
      </c>
      <c r="N21" s="320">
        <v>47138</v>
      </c>
      <c r="O21" s="320">
        <v>558</v>
      </c>
      <c r="P21" s="231">
        <v>0</v>
      </c>
      <c r="Q21" s="320"/>
    </row>
    <row r="22" spans="1:27" ht="16.5" customHeight="1" x14ac:dyDescent="0.2">
      <c r="A22" s="31" t="s">
        <v>328</v>
      </c>
      <c r="B22" s="92" t="s">
        <v>47</v>
      </c>
      <c r="C22" s="93">
        <f>ROUND(AVERAGE(B21:C21),0)</f>
        <v>2030</v>
      </c>
      <c r="D22" s="93">
        <f>ROUND(AVERAGE(C21:D21),0)</f>
        <v>2081</v>
      </c>
      <c r="E22" s="93">
        <f>ROUND(AVERAGE(D21:E21),0)</f>
        <v>2153</v>
      </c>
      <c r="F22" s="93">
        <f>ROUND(AVERAGE(E21:F21),0)</f>
        <v>2242</v>
      </c>
      <c r="G22" s="93">
        <f>ROUND(AVERAGE(F21:G21),0)</f>
        <v>1251</v>
      </c>
      <c r="H22" s="296"/>
      <c r="I22" s="1300"/>
      <c r="J22" s="1300"/>
      <c r="K22" s="1314"/>
      <c r="L22" s="320">
        <v>279</v>
      </c>
      <c r="M22" s="320">
        <v>54899</v>
      </c>
      <c r="N22" s="320">
        <f>AVERAGE(47138,56510)</f>
        <v>51824</v>
      </c>
      <c r="O22" s="320">
        <v>491</v>
      </c>
      <c r="P22" s="320">
        <v>0</v>
      </c>
      <c r="Q22" s="320"/>
    </row>
    <row r="23" spans="1:27" ht="16.5" customHeight="1" x14ac:dyDescent="0.2">
      <c r="A23" s="31" t="s">
        <v>329</v>
      </c>
      <c r="B23" s="92" t="s">
        <v>47</v>
      </c>
      <c r="C23" s="32">
        <f>'IS Analysis Adjustments'!AZ4</f>
        <v>10877</v>
      </c>
      <c r="D23" s="32">
        <f>'IS Analysis Adjustments'!BA4</f>
        <v>12148</v>
      </c>
      <c r="E23" s="32">
        <f>'IS Analysis Adjustments'!BB4</f>
        <v>12540</v>
      </c>
      <c r="F23" s="32">
        <f>'IS Analysis Adjustments'!BC4</f>
        <v>13506</v>
      </c>
      <c r="G23" s="32">
        <f>'IS Analysis Adjustments'!BD4</f>
        <v>14373</v>
      </c>
      <c r="I23" s="1300"/>
      <c r="J23" s="1300"/>
      <c r="K23" s="1314"/>
      <c r="L23" s="231">
        <v>15797</v>
      </c>
      <c r="M23" s="231">
        <v>3518680</v>
      </c>
      <c r="N23" s="231">
        <v>6595626</v>
      </c>
      <c r="O23" s="231">
        <v>27079</v>
      </c>
      <c r="P23" s="231">
        <v>12625</v>
      </c>
      <c r="Q23" s="231"/>
    </row>
    <row r="24" spans="1:27" ht="16.5" customHeight="1" x14ac:dyDescent="0.2">
      <c r="A24" s="31" t="s">
        <v>141</v>
      </c>
      <c r="B24" s="92" t="s">
        <v>47</v>
      </c>
      <c r="C24" s="271">
        <f>C23/360</f>
        <v>30.213888888888889</v>
      </c>
      <c r="D24" s="271">
        <f>D23/360</f>
        <v>33.744444444444447</v>
      </c>
      <c r="E24" s="271">
        <f>E23/360</f>
        <v>34.833333333333336</v>
      </c>
      <c r="F24" s="271">
        <f>F23/360</f>
        <v>37.516666666666666</v>
      </c>
      <c r="G24" s="271">
        <f>G23/360</f>
        <v>39.924999999999997</v>
      </c>
      <c r="I24" s="1301"/>
      <c r="J24" s="1301"/>
      <c r="K24" s="1315"/>
      <c r="L24" s="271">
        <f t="shared" ref="L24:Q24" si="1">L23/360</f>
        <v>43.880555555555553</v>
      </c>
      <c r="M24" s="271">
        <f t="shared" si="1"/>
        <v>9774.1111111111113</v>
      </c>
      <c r="N24" s="271">
        <f t="shared" si="1"/>
        <v>18321.183333333334</v>
      </c>
      <c r="O24" s="271">
        <f t="shared" si="1"/>
        <v>75.219444444444449</v>
      </c>
      <c r="P24" s="271">
        <f t="shared" si="1"/>
        <v>35.069444444444443</v>
      </c>
      <c r="Q24" s="271">
        <f t="shared" si="1"/>
        <v>0</v>
      </c>
    </row>
    <row r="25" spans="1:27" s="314" customFormat="1" ht="24" customHeight="1" x14ac:dyDescent="0.2">
      <c r="A25" s="272" t="s">
        <v>347</v>
      </c>
      <c r="B25" s="90" t="s">
        <v>47</v>
      </c>
      <c r="C25" s="84">
        <f>ROUND(C27/C29,1)</f>
        <v>57.7</v>
      </c>
      <c r="D25" s="84">
        <f>ROUND(D27/D29,1)</f>
        <v>60.1</v>
      </c>
      <c r="E25" s="84">
        <f>ROUND(E27/E29,1)</f>
        <v>66.8</v>
      </c>
      <c r="F25" s="84">
        <f>ROUND(F27/F29,1)</f>
        <v>69.2</v>
      </c>
      <c r="G25" s="84">
        <f>ROUND(G27/G29,1)</f>
        <v>71.2</v>
      </c>
      <c r="H25" s="265"/>
      <c r="I25" s="101">
        <f>'Industry Firm Ratios'!E8</f>
        <v>67.669172932330824</v>
      </c>
      <c r="J25" s="101">
        <f>'Industry Firm Ratios'!E6</f>
        <v>103.44935898169454</v>
      </c>
      <c r="K25" s="1313" t="s">
        <v>1091</v>
      </c>
      <c r="L25" s="882" t="s">
        <v>770</v>
      </c>
      <c r="M25" s="86"/>
      <c r="N25" s="86"/>
      <c r="O25" s="86"/>
      <c r="P25" s="86"/>
      <c r="Q25" s="86"/>
      <c r="R25" s="313"/>
      <c r="S25" s="313"/>
      <c r="T25" s="313"/>
      <c r="U25" s="313"/>
      <c r="V25" s="313"/>
      <c r="W25" s="313"/>
      <c r="X25" s="313"/>
      <c r="Y25" s="313"/>
      <c r="Z25" s="313"/>
      <c r="AA25" s="313"/>
    </row>
    <row r="26" spans="1:27" ht="16.5" customHeight="1" x14ac:dyDescent="0.2">
      <c r="A26" s="31" t="s">
        <v>368</v>
      </c>
      <c r="B26" s="32">
        <f>'Common-size FS'!B17</f>
        <v>977</v>
      </c>
      <c r="C26" s="32">
        <f>'BS Analysis Adjustments'!AZ11</f>
        <v>1148</v>
      </c>
      <c r="D26" s="32">
        <f>'BS Analysis Adjustments'!BA11</f>
        <v>1360</v>
      </c>
      <c r="E26" s="32">
        <f>'BS Analysis Adjustments'!BB11</f>
        <v>1531</v>
      </c>
      <c r="F26" s="32">
        <f>'BS Analysis Adjustments'!BC11</f>
        <v>1733</v>
      </c>
      <c r="G26" s="32">
        <f>'BS Analysis Adjustments'!BD11</f>
        <v>1945</v>
      </c>
      <c r="I26" s="1299"/>
      <c r="J26" s="1299"/>
      <c r="K26" s="1314"/>
      <c r="L26" s="86"/>
      <c r="M26" s="86"/>
      <c r="N26" s="86"/>
      <c r="O26" s="86"/>
      <c r="P26" s="86"/>
      <c r="Q26" s="86"/>
    </row>
    <row r="27" spans="1:27" ht="16.5" customHeight="1" x14ac:dyDescent="0.2">
      <c r="A27" s="31" t="s">
        <v>355</v>
      </c>
      <c r="B27" s="92" t="s">
        <v>47</v>
      </c>
      <c r="C27" s="93">
        <f>ROUND(AVERAGE(B26:C26),0)</f>
        <v>1063</v>
      </c>
      <c r="D27" s="93">
        <f>ROUND(AVERAGE(C26:D26),0)</f>
        <v>1254</v>
      </c>
      <c r="E27" s="93">
        <f>ROUND(AVERAGE(D26:E26),0)</f>
        <v>1446</v>
      </c>
      <c r="F27" s="93">
        <f>ROUND(AVERAGE(E26:F26),0)</f>
        <v>1632</v>
      </c>
      <c r="G27" s="93">
        <f>ROUND(AVERAGE(F26:G26),0)</f>
        <v>1839</v>
      </c>
      <c r="H27" s="296"/>
      <c r="I27" s="1300"/>
      <c r="J27" s="1300"/>
      <c r="K27" s="1314"/>
      <c r="L27" s="448"/>
      <c r="M27" s="448"/>
      <c r="N27" s="448"/>
      <c r="O27" s="448"/>
      <c r="P27" s="448"/>
      <c r="Q27" s="448"/>
    </row>
    <row r="28" spans="1:27" ht="16.5" customHeight="1" x14ac:dyDescent="0.2">
      <c r="A28" s="31" t="s">
        <v>332</v>
      </c>
      <c r="B28" s="92" t="s">
        <v>47</v>
      </c>
      <c r="C28" s="32">
        <f>'IS Analysis Adjustments'!AZ5</f>
        <v>6633</v>
      </c>
      <c r="D28" s="32">
        <f>'IS Analysis Adjustments'!BA5</f>
        <v>7515</v>
      </c>
      <c r="E28" s="32">
        <f>'IS Analysis Adjustments'!BB5</f>
        <v>7789</v>
      </c>
      <c r="F28" s="32">
        <f>'IS Analysis Adjustments'!BC5</f>
        <v>8490</v>
      </c>
      <c r="G28" s="32">
        <f>'IS Analysis Adjustments'!BD5</f>
        <v>9293</v>
      </c>
      <c r="I28" s="1300"/>
      <c r="J28" s="1300"/>
      <c r="K28" s="1314"/>
      <c r="L28" s="86"/>
      <c r="M28" s="86"/>
      <c r="N28" s="86"/>
      <c r="O28" s="86"/>
      <c r="P28" s="86"/>
      <c r="Q28" s="86"/>
    </row>
    <row r="29" spans="1:27" s="13" customFormat="1" ht="16.5" customHeight="1" x14ac:dyDescent="0.2">
      <c r="A29" s="39" t="s">
        <v>333</v>
      </c>
      <c r="B29" s="275" t="s">
        <v>47</v>
      </c>
      <c r="C29" s="276">
        <f>C28/360</f>
        <v>18.425000000000001</v>
      </c>
      <c r="D29" s="276">
        <f>D28/360</f>
        <v>20.875</v>
      </c>
      <c r="E29" s="276">
        <f>E28/360</f>
        <v>21.636111111111113</v>
      </c>
      <c r="F29" s="276">
        <f>F28/360</f>
        <v>23.583333333333332</v>
      </c>
      <c r="G29" s="276">
        <f>G28/360</f>
        <v>25.81388888888889</v>
      </c>
      <c r="H29" s="193"/>
      <c r="I29" s="1301"/>
      <c r="J29" s="1301"/>
      <c r="K29" s="1315"/>
      <c r="L29" s="449"/>
      <c r="M29" s="449"/>
      <c r="N29" s="449"/>
      <c r="O29" s="449"/>
      <c r="P29" s="449"/>
      <c r="Q29" s="449"/>
      <c r="R29" s="88"/>
      <c r="S29" s="88"/>
      <c r="T29" s="88"/>
      <c r="U29" s="88"/>
      <c r="V29" s="88"/>
      <c r="W29" s="88"/>
      <c r="X29" s="88"/>
      <c r="Y29" s="88"/>
      <c r="Z29" s="88"/>
      <c r="AA29" s="88"/>
    </row>
    <row r="30" spans="1:27" s="314" customFormat="1" ht="24" customHeight="1" x14ac:dyDescent="0.2">
      <c r="A30" s="272" t="s">
        <v>746</v>
      </c>
      <c r="B30" s="90" t="s">
        <v>47</v>
      </c>
      <c r="C30" s="84">
        <f>ROUND(C32/C40,1)</f>
        <v>74.7</v>
      </c>
      <c r="D30" s="84">
        <f>ROUND(D32/D40,1)</f>
        <v>94.5</v>
      </c>
      <c r="E30" s="84">
        <f>ROUND(E32/E40,1)</f>
        <v>100.8</v>
      </c>
      <c r="F30" s="84">
        <f>ROUND(F32/F40,1)</f>
        <v>103.6</v>
      </c>
      <c r="G30" s="84">
        <f>ROUND(G32/G40,1)</f>
        <v>99.4</v>
      </c>
      <c r="H30" s="265"/>
      <c r="I30" s="100">
        <f>L30</f>
        <v>56.364300855200639</v>
      </c>
      <c r="J30" s="100">
        <f>AVERAGE(G30,L30:Q30)</f>
        <v>63.827396667646525</v>
      </c>
      <c r="K30" s="1313" t="s">
        <v>1091</v>
      </c>
      <c r="L30" s="84">
        <f>L32/L40</f>
        <v>56.364300855200639</v>
      </c>
      <c r="M30" s="84">
        <f>M32/M40</f>
        <v>46.213630381150445</v>
      </c>
      <c r="N30" s="84">
        <f>N32/N40</f>
        <v>43.966454398109889</v>
      </c>
      <c r="O30" s="84">
        <f>O32/O40</f>
        <v>71.777805579882397</v>
      </c>
      <c r="P30" s="84">
        <f>P32/P40</f>
        <v>65.242188791535796</v>
      </c>
      <c r="Q30" s="84"/>
      <c r="R30" s="313"/>
      <c r="S30" s="313"/>
      <c r="T30" s="313"/>
      <c r="U30" s="313"/>
      <c r="V30" s="313"/>
      <c r="W30" s="313"/>
      <c r="X30" s="313"/>
      <c r="Y30" s="313"/>
      <c r="Z30" s="313"/>
      <c r="AA30" s="313"/>
    </row>
    <row r="31" spans="1:27" ht="16.5" customHeight="1" x14ac:dyDescent="0.2">
      <c r="A31" s="31" t="s">
        <v>261</v>
      </c>
      <c r="B31" s="32">
        <f>'Common-size FS'!B36+'Common-size FS'!B37</f>
        <v>1221</v>
      </c>
      <c r="C31" s="32">
        <f>'BS Analysis Adjustments'!AZ27+'BS Analysis Adjustments'!AZ28</f>
        <v>2578</v>
      </c>
      <c r="D31" s="32">
        <f>'BS Analysis Adjustments'!BA27+'BS Analysis Adjustments'!BA28</f>
        <v>2844</v>
      </c>
      <c r="E31" s="32">
        <f>'BS Analysis Adjustments'!BB27+'BS Analysis Adjustments'!BB28</f>
        <v>3108</v>
      </c>
      <c r="F31" s="32">
        <f>'BS Analysis Adjustments'!BC27+'BS Analysis Adjustments'!BC28</f>
        <v>3553</v>
      </c>
      <c r="G31" s="32">
        <f>'BS Analysis Adjustments'!BD27+'BS Analysis Adjustments'!BD28</f>
        <v>3431</v>
      </c>
      <c r="I31" s="1299"/>
      <c r="J31" s="1299"/>
      <c r="K31" s="1314"/>
      <c r="L31" s="231">
        <v>2091</v>
      </c>
      <c r="M31" s="231">
        <v>405412</v>
      </c>
      <c r="N31" s="231">
        <v>691310</v>
      </c>
      <c r="O31" s="231">
        <v>4859</v>
      </c>
      <c r="P31" s="231">
        <v>1274</v>
      </c>
      <c r="Q31" s="231"/>
    </row>
    <row r="32" spans="1:27" ht="16.5" customHeight="1" x14ac:dyDescent="0.2">
      <c r="A32" s="31" t="s">
        <v>262</v>
      </c>
      <c r="B32" s="92" t="s">
        <v>47</v>
      </c>
      <c r="C32" s="93">
        <f>ROUND(AVERAGE(B31:C31),0)</f>
        <v>1900</v>
      </c>
      <c r="D32" s="93">
        <f>ROUND(AVERAGE(C31:D31),0)</f>
        <v>2711</v>
      </c>
      <c r="E32" s="93">
        <f>ROUND(AVERAGE(D31:E31),0)</f>
        <v>2976</v>
      </c>
      <c r="F32" s="93">
        <f>ROUND(AVERAGE(E31:F31),0)</f>
        <v>3331</v>
      </c>
      <c r="G32" s="93">
        <f>ROUND(AVERAGE(F31:G31),0)</f>
        <v>3492</v>
      </c>
      <c r="I32" s="1299"/>
      <c r="J32" s="1299"/>
      <c r="K32" s="1314"/>
      <c r="L32" s="320">
        <v>2142</v>
      </c>
      <c r="M32" s="320">
        <v>414916.5</v>
      </c>
      <c r="N32" s="320">
        <v>710866</v>
      </c>
      <c r="O32" s="320">
        <v>4781</v>
      </c>
      <c r="P32" s="320">
        <v>2192.5</v>
      </c>
      <c r="Q32" s="320"/>
    </row>
    <row r="33" spans="1:27" ht="16.5" customHeight="1" x14ac:dyDescent="0.2">
      <c r="A33" s="104" t="s">
        <v>369</v>
      </c>
      <c r="B33" s="92" t="s">
        <v>47</v>
      </c>
      <c r="C33" s="93">
        <f>'IS Analysis Adjustments'!AZ5+'IS Analysis Adjustments'!AZ13</f>
        <v>9600</v>
      </c>
      <c r="D33" s="93">
        <f>'IS Analysis Adjustments'!BA5+'IS Analysis Adjustments'!BA13</f>
        <v>10834</v>
      </c>
      <c r="E33" s="93">
        <f>'IS Analysis Adjustments'!BB5+'IS Analysis Adjustments'!BB13</f>
        <v>11197</v>
      </c>
      <c r="F33" s="93">
        <f>'IS Analysis Adjustments'!BC5+'IS Analysis Adjustments'!BC13</f>
        <v>12224</v>
      </c>
      <c r="G33" s="93">
        <f>'IS Analysis Adjustments'!BD5+'IS Analysis Adjustments'!BD13</f>
        <v>13383</v>
      </c>
      <c r="H33" s="296"/>
      <c r="I33" s="1300"/>
      <c r="J33" s="1300"/>
      <c r="K33" s="1314"/>
      <c r="L33" s="320">
        <v>14273</v>
      </c>
      <c r="M33" s="320">
        <v>3445842</v>
      </c>
      <c r="N33" s="320">
        <v>6345761</v>
      </c>
      <c r="O33" s="320">
        <v>25040</v>
      </c>
      <c r="P33" s="320">
        <v>12714</v>
      </c>
      <c r="Q33" s="320"/>
    </row>
    <row r="34" spans="1:27" ht="16.5" customHeight="1" x14ac:dyDescent="0.2">
      <c r="A34" s="289" t="s">
        <v>370</v>
      </c>
      <c r="B34" s="92" t="s">
        <v>47</v>
      </c>
      <c r="C34" s="93">
        <f>'IS Analysis Adjustments'!AZ11</f>
        <v>445</v>
      </c>
      <c r="D34" s="93">
        <f>'IS Analysis Adjustments'!BA11</f>
        <v>506</v>
      </c>
      <c r="E34" s="93">
        <f>'IS Analysis Adjustments'!BB11</f>
        <v>569</v>
      </c>
      <c r="F34" s="93">
        <f>'IS Analysis Adjustments'!BC11</f>
        <v>650</v>
      </c>
      <c r="G34" s="93">
        <f>'IS Analysis Adjustments'!BD11</f>
        <v>742</v>
      </c>
      <c r="H34" s="296"/>
      <c r="I34" s="1300"/>
      <c r="J34" s="1300"/>
      <c r="K34" s="1314"/>
      <c r="L34" s="320">
        <v>592</v>
      </c>
      <c r="M34" s="320">
        <v>213680</v>
      </c>
      <c r="N34" s="320">
        <v>525147</v>
      </c>
      <c r="O34" s="320">
        <v>1061</v>
      </c>
      <c r="P34" s="320">
        <v>616</v>
      </c>
      <c r="Q34" s="320"/>
    </row>
    <row r="35" spans="1:27" ht="16.5" hidden="1" customHeight="1" x14ac:dyDescent="0.2">
      <c r="A35" s="761" t="s">
        <v>701</v>
      </c>
      <c r="B35" s="92" t="s">
        <v>47</v>
      </c>
      <c r="C35" s="764">
        <v>0</v>
      </c>
      <c r="D35" s="764">
        <v>0</v>
      </c>
      <c r="E35" s="764">
        <v>0</v>
      </c>
      <c r="F35" s="764">
        <v>0</v>
      </c>
      <c r="G35" s="764">
        <v>0</v>
      </c>
      <c r="H35" s="296"/>
      <c r="I35" s="1300"/>
      <c r="J35" s="1300"/>
      <c r="K35" s="1314"/>
      <c r="L35" s="320">
        <v>0</v>
      </c>
      <c r="M35" s="320">
        <v>0</v>
      </c>
      <c r="N35" s="320">
        <v>0</v>
      </c>
      <c r="O35" s="320">
        <v>0</v>
      </c>
      <c r="P35" s="320"/>
      <c r="Q35" s="320"/>
    </row>
    <row r="36" spans="1:27" ht="16.5" hidden="1" customHeight="1" x14ac:dyDescent="0.2">
      <c r="A36" s="761" t="s">
        <v>702</v>
      </c>
      <c r="B36" s="92" t="s">
        <v>47</v>
      </c>
      <c r="C36" s="764">
        <v>0</v>
      </c>
      <c r="D36" s="764">
        <v>0</v>
      </c>
      <c r="E36" s="764">
        <v>0</v>
      </c>
      <c r="F36" s="764">
        <v>0</v>
      </c>
      <c r="G36" s="764">
        <v>0</v>
      </c>
      <c r="H36" s="296"/>
      <c r="I36" s="1300"/>
      <c r="J36" s="1300"/>
      <c r="K36" s="1314"/>
      <c r="L36" s="320">
        <v>0</v>
      </c>
      <c r="M36" s="320">
        <v>0</v>
      </c>
      <c r="N36" s="320">
        <v>0</v>
      </c>
      <c r="O36" s="320">
        <v>0</v>
      </c>
      <c r="P36" s="320"/>
      <c r="Q36" s="320"/>
    </row>
    <row r="37" spans="1:27" s="13" customFormat="1" ht="16.5" hidden="1" customHeight="1" x14ac:dyDescent="0.2">
      <c r="A37" s="762" t="s">
        <v>703</v>
      </c>
      <c r="B37" s="92" t="s">
        <v>47</v>
      </c>
      <c r="C37" s="765">
        <v>0</v>
      </c>
      <c r="D37" s="765">
        <v>0</v>
      </c>
      <c r="E37" s="765">
        <v>0</v>
      </c>
      <c r="F37" s="765">
        <v>0</v>
      </c>
      <c r="G37" s="765">
        <v>0</v>
      </c>
      <c r="H37" s="296"/>
      <c r="I37" s="1300"/>
      <c r="J37" s="1300"/>
      <c r="K37" s="1314"/>
      <c r="L37" s="321">
        <v>0</v>
      </c>
      <c r="M37" s="321">
        <v>0</v>
      </c>
      <c r="N37" s="321">
        <v>0</v>
      </c>
      <c r="O37" s="321">
        <v>0</v>
      </c>
      <c r="P37" s="321"/>
      <c r="Q37" s="321"/>
      <c r="R37" s="88"/>
      <c r="S37" s="88"/>
      <c r="T37" s="88"/>
      <c r="U37" s="88"/>
      <c r="V37" s="88"/>
      <c r="W37" s="88"/>
      <c r="X37" s="88"/>
      <c r="Y37" s="88"/>
      <c r="Z37" s="88"/>
      <c r="AA37" s="88"/>
    </row>
    <row r="38" spans="1:27" s="20" customFormat="1" ht="16.5" hidden="1" customHeight="1" x14ac:dyDescent="0.2">
      <c r="A38" s="763" t="s">
        <v>703</v>
      </c>
      <c r="B38" s="291" t="s">
        <v>47</v>
      </c>
      <c r="C38" s="766">
        <v>0</v>
      </c>
      <c r="D38" s="766">
        <v>0</v>
      </c>
      <c r="E38" s="766">
        <v>0</v>
      </c>
      <c r="F38" s="766">
        <v>0</v>
      </c>
      <c r="G38" s="766">
        <v>0</v>
      </c>
      <c r="H38" s="296"/>
      <c r="I38" s="1300"/>
      <c r="J38" s="1300"/>
      <c r="K38" s="1314"/>
      <c r="L38" s="322">
        <v>0</v>
      </c>
      <c r="M38" s="322">
        <v>0</v>
      </c>
      <c r="N38" s="322">
        <v>0</v>
      </c>
      <c r="O38" s="322">
        <v>0</v>
      </c>
      <c r="P38" s="322"/>
      <c r="Q38" s="322"/>
      <c r="R38" s="194"/>
      <c r="S38" s="194"/>
      <c r="T38" s="194"/>
      <c r="U38" s="194"/>
      <c r="V38" s="194"/>
      <c r="W38" s="194"/>
      <c r="X38" s="194"/>
      <c r="Y38" s="194"/>
      <c r="Z38" s="194"/>
      <c r="AA38" s="194"/>
    </row>
    <row r="39" spans="1:27" s="15" customFormat="1" ht="16.5" customHeight="1" x14ac:dyDescent="0.2">
      <c r="A39" s="33" t="s">
        <v>240</v>
      </c>
      <c r="B39" s="290" t="s">
        <v>47</v>
      </c>
      <c r="C39" s="66">
        <f>C33-SUM(C34:C38)</f>
        <v>9155</v>
      </c>
      <c r="D39" s="66">
        <f>D33-SUM(D34:D38)</f>
        <v>10328</v>
      </c>
      <c r="E39" s="66">
        <f>E33-SUM(E34:E38)</f>
        <v>10628</v>
      </c>
      <c r="F39" s="66">
        <f>F33-SUM(F34:F38)</f>
        <v>11574</v>
      </c>
      <c r="G39" s="66">
        <f>G33-SUM(G34:G38)</f>
        <v>12641</v>
      </c>
      <c r="H39" s="193"/>
      <c r="I39" s="1300"/>
      <c r="J39" s="1300"/>
      <c r="K39" s="1314"/>
      <c r="L39" s="66">
        <f t="shared" ref="L39:Q39" si="2">L33-SUM(L34:L38)</f>
        <v>13681</v>
      </c>
      <c r="M39" s="66">
        <f t="shared" si="2"/>
        <v>3232162</v>
      </c>
      <c r="N39" s="66">
        <f t="shared" si="2"/>
        <v>5820614</v>
      </c>
      <c r="O39" s="66">
        <f t="shared" si="2"/>
        <v>23979</v>
      </c>
      <c r="P39" s="66">
        <f t="shared" si="2"/>
        <v>12098</v>
      </c>
      <c r="Q39" s="66">
        <f t="shared" si="2"/>
        <v>0</v>
      </c>
      <c r="R39" s="195"/>
      <c r="S39" s="195"/>
      <c r="T39" s="195"/>
      <c r="U39" s="195"/>
      <c r="V39" s="195"/>
      <c r="W39" s="195"/>
      <c r="X39" s="195"/>
      <c r="Y39" s="195"/>
      <c r="Z39" s="195"/>
      <c r="AA39" s="195"/>
    </row>
    <row r="40" spans="1:27" s="13" customFormat="1" ht="16.5" customHeight="1" x14ac:dyDescent="0.2">
      <c r="A40" s="39" t="s">
        <v>263</v>
      </c>
      <c r="B40" s="275" t="s">
        <v>47</v>
      </c>
      <c r="C40" s="276">
        <f>C39/360</f>
        <v>25.430555555555557</v>
      </c>
      <c r="D40" s="276">
        <f>D39/360</f>
        <v>28.68888888888889</v>
      </c>
      <c r="E40" s="276">
        <f>E39/360</f>
        <v>29.522222222222222</v>
      </c>
      <c r="F40" s="276">
        <f>F39/360</f>
        <v>32.15</v>
      </c>
      <c r="G40" s="276">
        <f>G39/360</f>
        <v>35.113888888888887</v>
      </c>
      <c r="H40" s="193"/>
      <c r="I40" s="1301"/>
      <c r="J40" s="1301"/>
      <c r="K40" s="1315"/>
      <c r="L40" s="276">
        <f t="shared" ref="L40:Q40" si="3">L39/360</f>
        <v>38.00277777777778</v>
      </c>
      <c r="M40" s="276">
        <f t="shared" si="3"/>
        <v>8978.2277777777781</v>
      </c>
      <c r="N40" s="276">
        <f t="shared" si="3"/>
        <v>16168.372222222222</v>
      </c>
      <c r="O40" s="276">
        <f t="shared" si="3"/>
        <v>66.608333333333334</v>
      </c>
      <c r="P40" s="276">
        <f t="shared" si="3"/>
        <v>33.605555555555554</v>
      </c>
      <c r="Q40" s="276">
        <f t="shared" si="3"/>
        <v>0</v>
      </c>
      <c r="R40" s="88"/>
      <c r="S40" s="88"/>
      <c r="T40" s="88"/>
      <c r="U40" s="88"/>
      <c r="V40" s="88"/>
      <c r="W40" s="88"/>
      <c r="X40" s="88"/>
      <c r="Y40" s="88"/>
      <c r="Z40" s="88"/>
      <c r="AA40" s="88"/>
    </row>
    <row r="41" spans="1:27" s="91" customFormat="1" ht="24" customHeight="1" x14ac:dyDescent="0.2">
      <c r="A41" s="324" t="s">
        <v>265</v>
      </c>
      <c r="B41" s="100" t="s">
        <v>47</v>
      </c>
      <c r="C41" s="101">
        <f>C20+C25-C30</f>
        <v>50.2</v>
      </c>
      <c r="D41" s="101">
        <f t="shared" ref="D41:J41" si="4">D20+D25-D30</f>
        <v>27.300000000000011</v>
      </c>
      <c r="E41" s="101">
        <f t="shared" si="4"/>
        <v>27.799999999999997</v>
      </c>
      <c r="F41" s="101">
        <f t="shared" si="4"/>
        <v>25.400000000000006</v>
      </c>
      <c r="G41" s="101">
        <f t="shared" si="4"/>
        <v>3.0999999999999943</v>
      </c>
      <c r="H41" s="265"/>
      <c r="I41" s="101">
        <f>I20+I25-I30</f>
        <v>17.70487207713019</v>
      </c>
      <c r="J41" s="101">
        <f t="shared" si="4"/>
        <v>48.388628980714685</v>
      </c>
      <c r="K41" s="316"/>
      <c r="L41" s="126"/>
      <c r="M41" s="126"/>
      <c r="N41" s="126"/>
      <c r="O41" s="126"/>
      <c r="P41" s="126"/>
      <c r="Q41" s="126"/>
      <c r="R41" s="295"/>
      <c r="S41" s="295"/>
      <c r="T41" s="295"/>
      <c r="U41" s="295"/>
      <c r="V41" s="295"/>
      <c r="W41" s="295"/>
      <c r="X41" s="295"/>
      <c r="Y41" s="295"/>
      <c r="Z41" s="295"/>
      <c r="AA41" s="295"/>
    </row>
    <row r="42" spans="1:27" s="677" customFormat="1" ht="9" customHeight="1" x14ac:dyDescent="0.2">
      <c r="B42" s="678"/>
      <c r="C42" s="678"/>
      <c r="D42" s="678"/>
      <c r="E42" s="678"/>
      <c r="F42" s="678"/>
      <c r="G42" s="678"/>
      <c r="H42" s="678"/>
      <c r="I42" s="678"/>
      <c r="J42" s="678"/>
      <c r="K42" s="678"/>
      <c r="L42" s="678"/>
      <c r="M42" s="678"/>
      <c r="N42" s="678"/>
      <c r="O42" s="678"/>
      <c r="P42" s="678"/>
      <c r="Q42" s="678"/>
    </row>
    <row r="43" spans="1:27" s="7" customFormat="1" ht="18" customHeight="1" x14ac:dyDescent="0.2">
      <c r="A43" s="679" t="s">
        <v>135</v>
      </c>
      <c r="B43" s="1317" t="str">
        <f>B9</f>
        <v>Fiscal year ended (after analysis adjustments)</v>
      </c>
      <c r="C43" s="1318"/>
      <c r="D43" s="1318"/>
      <c r="E43" s="1318"/>
      <c r="F43" s="1318"/>
      <c r="G43" s="1318"/>
      <c r="H43" s="293"/>
      <c r="I43" s="1304" t="s">
        <v>1079</v>
      </c>
      <c r="J43" s="1304" t="s">
        <v>140</v>
      </c>
      <c r="K43" s="1284" t="s">
        <v>376</v>
      </c>
      <c r="L43" s="1308" t="s">
        <v>284</v>
      </c>
      <c r="M43" s="1308" t="str">
        <f>M9</f>
        <v>Abercrombie &amp; Fitch, Inc.</v>
      </c>
      <c r="N43" s="1308" t="str">
        <f>N9</f>
        <v>Dillard's, Inc.</v>
      </c>
      <c r="O43" s="1308" t="str">
        <f>O9</f>
        <v>Macy's Inc.</v>
      </c>
      <c r="P43" s="1308" t="str">
        <f>P9</f>
        <v>Penney (J.C.) Co.,Inc. (Holding Co.)</v>
      </c>
      <c r="Q43" s="1308" t="str">
        <f>Q9</f>
        <v>N/A</v>
      </c>
      <c r="R43" s="82"/>
      <c r="S43" s="82"/>
      <c r="T43" s="82"/>
      <c r="U43" s="82"/>
      <c r="V43" s="82"/>
      <c r="W43" s="82"/>
      <c r="X43" s="82"/>
      <c r="Y43" s="82"/>
      <c r="Z43" s="82"/>
      <c r="AA43" s="82"/>
    </row>
    <row r="44" spans="1:27" s="41" customFormat="1" ht="16.5" customHeight="1" x14ac:dyDescent="0.35">
      <c r="A44" s="246" t="s">
        <v>139</v>
      </c>
      <c r="B44" s="103">
        <f>'Common-size FS'!B9</f>
        <v>2010</v>
      </c>
      <c r="C44" s="103">
        <f>B44+1</f>
        <v>2011</v>
      </c>
      <c r="D44" s="103">
        <f>C44+1</f>
        <v>2012</v>
      </c>
      <c r="E44" s="103">
        <f>D44+1</f>
        <v>2013</v>
      </c>
      <c r="F44" s="103">
        <f>E44+1</f>
        <v>2014</v>
      </c>
      <c r="G44" s="103">
        <f>F44+1</f>
        <v>2015</v>
      </c>
      <c r="H44" s="294"/>
      <c r="I44" s="1305"/>
      <c r="J44" s="1305"/>
      <c r="K44" s="1285"/>
      <c r="L44" s="1309"/>
      <c r="M44" s="1319"/>
      <c r="N44" s="1319"/>
      <c r="O44" s="1319"/>
      <c r="P44" s="1319"/>
      <c r="Q44" s="1319"/>
      <c r="R44" s="193"/>
      <c r="S44" s="193"/>
      <c r="T44" s="193"/>
      <c r="U44" s="193"/>
      <c r="V44" s="193"/>
      <c r="W44" s="193"/>
      <c r="X44" s="193"/>
      <c r="Y44" s="193"/>
      <c r="Z44" s="193"/>
      <c r="AA44" s="193"/>
    </row>
    <row r="45" spans="1:27" s="315" customFormat="1" ht="24" customHeight="1" x14ac:dyDescent="0.2">
      <c r="A45" s="278" t="s">
        <v>474</v>
      </c>
      <c r="B45" s="307" t="s">
        <v>47</v>
      </c>
      <c r="C45" s="836">
        <f>ROUND(C46/C47,2)</f>
        <v>4.51</v>
      </c>
      <c r="D45" s="836">
        <f>ROUND(D46/D47,2)</f>
        <v>4.8899999999999997</v>
      </c>
      <c r="E45" s="836">
        <f>ROUND(E46/E47,2)</f>
        <v>4.9000000000000004</v>
      </c>
      <c r="F45" s="836">
        <f>ROUND(F46/F47,2)</f>
        <v>4.3899999999999997</v>
      </c>
      <c r="G45" s="836">
        <f>ROUND(G46/G47,2)</f>
        <v>12.68</v>
      </c>
      <c r="H45" s="441"/>
      <c r="I45" s="837">
        <f>'Industry Firm Ratios'!G8</f>
        <v>0.45</v>
      </c>
      <c r="J45" s="837">
        <f>'Industry Firm Ratios'!G6</f>
        <v>1.1100000000000001</v>
      </c>
      <c r="K45" s="1310" t="s">
        <v>1046</v>
      </c>
      <c r="L45" s="881" t="s">
        <v>770</v>
      </c>
      <c r="M45" s="450"/>
      <c r="N45" s="450"/>
      <c r="O45" s="450"/>
      <c r="P45" s="450"/>
      <c r="Q45" s="450"/>
      <c r="R45" s="153"/>
      <c r="S45" s="153"/>
      <c r="T45" s="153"/>
      <c r="U45" s="153"/>
      <c r="V45" s="153"/>
      <c r="W45" s="153"/>
      <c r="X45" s="153"/>
      <c r="Y45" s="153"/>
      <c r="Z45" s="153"/>
      <c r="AA45" s="153"/>
    </row>
    <row r="46" spans="1:27" ht="16.5" customHeight="1" x14ac:dyDescent="0.2">
      <c r="A46" s="112" t="s">
        <v>371</v>
      </c>
      <c r="B46" s="92" t="s">
        <v>47</v>
      </c>
      <c r="C46" s="32">
        <f>'BS Analysis Adjustments'!AZ42+'BS Analysis Adjustments'!AZ44+'BS Analysis Adjustments'!AZ45</f>
        <v>8829</v>
      </c>
      <c r="D46" s="32">
        <f>'BS Analysis Adjustments'!BA42+'BS Analysis Adjustments'!BA44+'BS Analysis Adjustments'!BA45</f>
        <v>9347</v>
      </c>
      <c r="E46" s="32">
        <f>'BS Analysis Adjustments'!BB42+'BS Analysis Adjustments'!BB44+'BS Analysis Adjustments'!BB45</f>
        <v>10184</v>
      </c>
      <c r="F46" s="32">
        <f>'BS Analysis Adjustments'!BC42+'BS Analysis Adjustments'!BC44+'BS Analysis Adjustments'!BC45</f>
        <v>10723</v>
      </c>
      <c r="G46" s="32">
        <f>'BS Analysis Adjustments'!BD42+'BS Analysis Adjustments'!BD44+'BS Analysis Adjustments'!BD45</f>
        <v>11047</v>
      </c>
      <c r="I46" s="1299"/>
      <c r="J46" s="1299"/>
      <c r="K46" s="1311"/>
      <c r="L46" s="86"/>
      <c r="M46" s="86"/>
      <c r="N46" s="86"/>
      <c r="O46" s="86"/>
      <c r="P46" s="86"/>
      <c r="Q46" s="86"/>
    </row>
    <row r="47" spans="1:27" ht="16.5" customHeight="1" x14ac:dyDescent="0.2">
      <c r="A47" s="112" t="s">
        <v>340</v>
      </c>
      <c r="B47" s="92" t="s">
        <v>47</v>
      </c>
      <c r="C47" s="32">
        <f>SUM('BS Analysis Adjustments'!AZ46:AZ52)</f>
        <v>1956</v>
      </c>
      <c r="D47" s="32">
        <f>SUM('BS Analysis Adjustments'!BA46:BA52)</f>
        <v>1913</v>
      </c>
      <c r="E47" s="32">
        <f>SUM('BS Analysis Adjustments'!BB46:BB52)</f>
        <v>2080</v>
      </c>
      <c r="F47" s="32">
        <f>SUM('BS Analysis Adjustments'!BC46:BC52)</f>
        <v>2440</v>
      </c>
      <c r="G47" s="32">
        <f>SUM('BS Analysis Adjustments'!BD46:BD52)</f>
        <v>871</v>
      </c>
      <c r="I47" s="1301"/>
      <c r="J47" s="1301"/>
      <c r="K47" s="1312"/>
      <c r="L47" s="86"/>
      <c r="M47" s="86"/>
      <c r="N47" s="86"/>
      <c r="O47" s="86"/>
      <c r="P47" s="86"/>
      <c r="Q47" s="86"/>
    </row>
    <row r="48" spans="1:27" s="314" customFormat="1" ht="24" customHeight="1" x14ac:dyDescent="0.2">
      <c r="A48" s="84" t="s">
        <v>475</v>
      </c>
      <c r="B48" s="97" t="s">
        <v>47</v>
      </c>
      <c r="C48" s="838">
        <f>ROUND(C49/C50,2)</f>
        <v>2.5</v>
      </c>
      <c r="D48" s="838">
        <f>ROUND(D49/D50,2)</f>
        <v>2.92</v>
      </c>
      <c r="E48" s="838">
        <f>ROUND(E49/E50,2)</f>
        <v>2.93</v>
      </c>
      <c r="F48" s="838">
        <f>ROUND(F49/F50,2)</f>
        <v>2.4500000000000002</v>
      </c>
      <c r="G48" s="838">
        <f>ROUND(G49/G50,2)</f>
        <v>7.22</v>
      </c>
      <c r="H48" s="441"/>
      <c r="I48" s="837">
        <f>'Industry Firm Ratios'!H8</f>
        <v>0.45</v>
      </c>
      <c r="J48" s="837">
        <f>'Industry Firm Ratios'!H6</f>
        <v>1.0900000000000001</v>
      </c>
      <c r="K48" s="1310" t="s">
        <v>1046</v>
      </c>
      <c r="L48" s="881" t="s">
        <v>770</v>
      </c>
      <c r="M48" s="451"/>
      <c r="N48" s="451"/>
      <c r="O48" s="451"/>
      <c r="P48" s="451"/>
      <c r="Q48" s="451"/>
      <c r="R48" s="313"/>
      <c r="S48" s="313"/>
      <c r="T48" s="313"/>
      <c r="U48" s="313"/>
      <c r="V48" s="313"/>
      <c r="W48" s="313"/>
      <c r="X48" s="313"/>
      <c r="Y48" s="313"/>
      <c r="Z48" s="313"/>
      <c r="AA48" s="313"/>
    </row>
    <row r="49" spans="1:27" ht="16.5" customHeight="1" x14ac:dyDescent="0.2">
      <c r="A49" s="112" t="s">
        <v>372</v>
      </c>
      <c r="B49" s="92" t="s">
        <v>47</v>
      </c>
      <c r="C49" s="32">
        <f>'BS Analysis Adjustments'!AZ41+'BS Analysis Adjustments'!AZ44+'BS Analysis Adjustments'!AZ45</f>
        <v>4896</v>
      </c>
      <c r="D49" s="32">
        <f>'BS Analysis Adjustments'!BA41+'BS Analysis Adjustments'!BA44+'BS Analysis Adjustments'!BA45</f>
        <v>5595</v>
      </c>
      <c r="E49" s="32">
        <f>'BS Analysis Adjustments'!BB41+'BS Analysis Adjustments'!BB44+'BS Analysis Adjustments'!BB45</f>
        <v>6085</v>
      </c>
      <c r="F49" s="32">
        <f>'BS Analysis Adjustments'!BC41+'BS Analysis Adjustments'!BC44+'BS Analysis Adjustments'!BC45</f>
        <v>5984</v>
      </c>
      <c r="G49" s="32">
        <f>'BS Analysis Adjustments'!BD41+'BS Analysis Adjustments'!BD44+'BS Analysis Adjustments'!BD45</f>
        <v>6289</v>
      </c>
      <c r="I49" s="1299"/>
      <c r="J49" s="1299"/>
      <c r="K49" s="1311"/>
      <c r="L49" s="86"/>
      <c r="M49" s="86"/>
      <c r="N49" s="86"/>
      <c r="O49" s="86"/>
      <c r="P49" s="86"/>
      <c r="Q49" s="86"/>
    </row>
    <row r="50" spans="1:27" ht="16.5" customHeight="1" x14ac:dyDescent="0.2">
      <c r="A50" s="112" t="s">
        <v>340</v>
      </c>
      <c r="B50" s="92" t="s">
        <v>47</v>
      </c>
      <c r="C50" s="32">
        <f>SUM('BS Analysis Adjustments'!AZ46:AZ52)</f>
        <v>1956</v>
      </c>
      <c r="D50" s="32">
        <f>SUM('BS Analysis Adjustments'!BA46:BA52)</f>
        <v>1913</v>
      </c>
      <c r="E50" s="32">
        <f>SUM('BS Analysis Adjustments'!BB46:BB52)</f>
        <v>2080</v>
      </c>
      <c r="F50" s="32">
        <f>SUM('BS Analysis Adjustments'!BC46:BC52)</f>
        <v>2440</v>
      </c>
      <c r="G50" s="32">
        <f>SUM('BS Analysis Adjustments'!BD46:BD52)</f>
        <v>871</v>
      </c>
      <c r="I50" s="1301"/>
      <c r="J50" s="1301"/>
      <c r="K50" s="1312"/>
      <c r="L50" s="86"/>
      <c r="M50" s="86"/>
      <c r="N50" s="86"/>
      <c r="O50" s="86"/>
      <c r="P50" s="86"/>
      <c r="Q50" s="86"/>
    </row>
    <row r="51" spans="1:27" s="314" customFormat="1" ht="24" customHeight="1" x14ac:dyDescent="0.2">
      <c r="A51" s="272" t="s">
        <v>349</v>
      </c>
      <c r="B51" s="97" t="s">
        <v>47</v>
      </c>
      <c r="C51" s="439">
        <f>IF(C54&lt;1,0,ROUND(C54/C53,1))</f>
        <v>7.1</v>
      </c>
      <c r="D51" s="439">
        <f t="shared" ref="D51:G51" si="5">IF(D54&lt;1,0,ROUND(D54/D53,1))</f>
        <v>6.3</v>
      </c>
      <c r="E51" s="439">
        <f t="shared" si="5"/>
        <v>5.6</v>
      </c>
      <c r="F51" s="439">
        <f t="shared" si="5"/>
        <v>5.5</v>
      </c>
      <c r="G51" s="439">
        <f t="shared" si="5"/>
        <v>4.0999999999999996</v>
      </c>
      <c r="H51" s="437"/>
      <c r="I51" s="440">
        <f>'Industry Firm Ratios'!I8</f>
        <v>29.76</v>
      </c>
      <c r="J51" s="440">
        <f>'Industry Firm Ratios'!I6</f>
        <v>10.6</v>
      </c>
      <c r="K51" s="1313" t="s">
        <v>1091</v>
      </c>
      <c r="L51" s="881" t="s">
        <v>770</v>
      </c>
      <c r="M51" s="445"/>
      <c r="N51" s="445"/>
      <c r="O51" s="445"/>
      <c r="P51" s="445"/>
      <c r="Q51" s="445"/>
      <c r="R51" s="313"/>
      <c r="S51" s="313"/>
      <c r="T51" s="313"/>
      <c r="U51" s="313"/>
      <c r="V51" s="313"/>
      <c r="W51" s="313"/>
      <c r="X51" s="313"/>
      <c r="Y51" s="313"/>
      <c r="Z51" s="313"/>
      <c r="AA51" s="313"/>
    </row>
    <row r="52" spans="1:27" ht="16.5" customHeight="1" x14ac:dyDescent="0.2">
      <c r="A52" s="31" t="s">
        <v>335</v>
      </c>
      <c r="B52" s="92" t="s">
        <v>47</v>
      </c>
      <c r="C52" s="32">
        <f>'IS Analysis Adjustments'!AZ26</f>
        <v>1097</v>
      </c>
      <c r="D52" s="32">
        <f>'IS Analysis Adjustments'!BA26</f>
        <v>1105</v>
      </c>
      <c r="E52" s="32">
        <f>'IS Analysis Adjustments'!BB26</f>
        <v>1105</v>
      </c>
      <c r="F52" s="32">
        <f>'IS Analysis Adjustments'!BC26</f>
        <v>1050</v>
      </c>
      <c r="G52" s="32">
        <f>'IS Analysis Adjustments'!BD26</f>
        <v>750</v>
      </c>
      <c r="I52" s="1299"/>
      <c r="J52" s="1299"/>
      <c r="K52" s="1314"/>
      <c r="L52" s="86"/>
      <c r="M52" s="86"/>
      <c r="N52" s="86"/>
      <c r="O52" s="86"/>
      <c r="P52" s="86"/>
      <c r="Q52" s="86"/>
    </row>
    <row r="53" spans="1:27" s="13" customFormat="1" ht="16.5" customHeight="1" x14ac:dyDescent="0.2">
      <c r="A53" s="39" t="s">
        <v>137</v>
      </c>
      <c r="B53" s="277" t="s">
        <v>47</v>
      </c>
      <c r="C53" s="75">
        <f>-'IS Analysis Adjustments'!AZ16</f>
        <v>180</v>
      </c>
      <c r="D53" s="75">
        <f>-'IS Analysis Adjustments'!BA16</f>
        <v>209</v>
      </c>
      <c r="E53" s="75">
        <f>-'IS Analysis Adjustments'!BB16</f>
        <v>238</v>
      </c>
      <c r="F53" s="75">
        <f>-'IS Analysis Adjustments'!BC16</f>
        <v>232</v>
      </c>
      <c r="G53" s="75">
        <f>-'IS Analysis Adjustments'!BD16</f>
        <v>240</v>
      </c>
      <c r="H53" s="193"/>
      <c r="I53" s="1300"/>
      <c r="J53" s="1300"/>
      <c r="K53" s="1314"/>
      <c r="L53" s="446"/>
      <c r="M53" s="446"/>
      <c r="N53" s="446"/>
      <c r="O53" s="446"/>
      <c r="P53" s="446"/>
      <c r="Q53" s="446"/>
      <c r="R53" s="88"/>
      <c r="S53" s="88"/>
      <c r="T53" s="88"/>
      <c r="U53" s="88"/>
      <c r="V53" s="88"/>
      <c r="W53" s="88"/>
      <c r="X53" s="88"/>
      <c r="Y53" s="88"/>
      <c r="Z53" s="88"/>
      <c r="AA53" s="88"/>
    </row>
    <row r="54" spans="1:27" s="49" customFormat="1" ht="16.5" customHeight="1" x14ac:dyDescent="0.2">
      <c r="A54" s="89" t="s">
        <v>334</v>
      </c>
      <c r="B54" s="306" t="s">
        <v>47</v>
      </c>
      <c r="C54" s="76">
        <f>SUM(C52:C53)</f>
        <v>1277</v>
      </c>
      <c r="D54" s="76">
        <f>SUM(D52:D53)</f>
        <v>1314</v>
      </c>
      <c r="E54" s="76">
        <f>SUM(E52:E53)</f>
        <v>1343</v>
      </c>
      <c r="F54" s="76">
        <f>SUM(F52:F53)</f>
        <v>1282</v>
      </c>
      <c r="G54" s="76">
        <f>SUM(G52:G53)</f>
        <v>990</v>
      </c>
      <c r="H54" s="193"/>
      <c r="I54" s="1301"/>
      <c r="J54" s="1301"/>
      <c r="K54" s="1315"/>
      <c r="L54" s="447"/>
      <c r="M54" s="447"/>
      <c r="N54" s="447"/>
      <c r="O54" s="447"/>
      <c r="P54" s="447"/>
      <c r="Q54" s="447"/>
      <c r="R54" s="196"/>
      <c r="S54" s="196"/>
      <c r="T54" s="196"/>
      <c r="U54" s="196"/>
      <c r="V54" s="196"/>
      <c r="W54" s="196"/>
      <c r="X54" s="196"/>
      <c r="Y54" s="196"/>
      <c r="Z54" s="196"/>
      <c r="AA54" s="196"/>
    </row>
    <row r="55" spans="1:27" s="314" customFormat="1" ht="24" customHeight="1" x14ac:dyDescent="0.2">
      <c r="A55" s="274" t="s">
        <v>260</v>
      </c>
      <c r="B55" s="97" t="s">
        <v>47</v>
      </c>
      <c r="C55" s="839">
        <f>IF(C56&lt;1,0,ROUND(C56/C57,2))</f>
        <v>0.24</v>
      </c>
      <c r="D55" s="839">
        <f t="shared" ref="D55:G55" si="6">IF(D56&lt;1,0,ROUND(D56/D57,2))</f>
        <v>0.2</v>
      </c>
      <c r="E55" s="839">
        <f t="shared" si="6"/>
        <v>0.22</v>
      </c>
      <c r="F55" s="839">
        <f t="shared" si="6"/>
        <v>0.2</v>
      </c>
      <c r="G55" s="839">
        <f t="shared" si="6"/>
        <v>0.39</v>
      </c>
      <c r="H55" s="437"/>
      <c r="I55" s="840">
        <f>L55</f>
        <v>0.67</v>
      </c>
      <c r="J55" s="840">
        <f>AVERAGE(G55,L55:Q55)</f>
        <v>0.41</v>
      </c>
      <c r="K55" s="1310" t="s">
        <v>1046</v>
      </c>
      <c r="L55" s="839">
        <f>IF(L56&lt;1,0,ROUND(L56/L57,2))</f>
        <v>0.67</v>
      </c>
      <c r="M55" s="839">
        <f>IF(M56&lt;1,0,ROUND(M56/M57,2))</f>
        <v>0.51</v>
      </c>
      <c r="N55" s="839">
        <f>IF(N56&lt;1,0,ROUND(N56/N57,2))</f>
        <v>0.52</v>
      </c>
      <c r="O55" s="839">
        <f t="shared" ref="O55:P55" si="7">IF(O56&lt;1,0,ROUND(O56/O57,2))</f>
        <v>0.28000000000000003</v>
      </c>
      <c r="P55" s="839">
        <f t="shared" si="7"/>
        <v>0.09</v>
      </c>
      <c r="Q55" s="439"/>
      <c r="R55" s="313"/>
      <c r="S55" s="313"/>
      <c r="T55" s="313"/>
      <c r="U55" s="313"/>
      <c r="V55" s="313"/>
      <c r="W55" s="313"/>
      <c r="X55" s="313"/>
      <c r="Y55" s="313"/>
      <c r="Z55" s="313"/>
      <c r="AA55" s="313"/>
    </row>
    <row r="56" spans="1:27" s="15" customFormat="1" ht="16.5" customHeight="1" x14ac:dyDescent="0.2">
      <c r="A56" s="33" t="s">
        <v>259</v>
      </c>
      <c r="B56" s="290" t="s">
        <v>47</v>
      </c>
      <c r="C56" s="66">
        <f>'Common-size FS'!C126</f>
        <v>1177</v>
      </c>
      <c r="D56" s="66">
        <f>'Common-size FS'!D126</f>
        <v>1110</v>
      </c>
      <c r="E56" s="66">
        <f>'Common-size FS'!E126</f>
        <v>1320</v>
      </c>
      <c r="F56" s="66">
        <f>'Common-size FS'!F126</f>
        <v>1220</v>
      </c>
      <c r="G56" s="66">
        <f>'Common-size FS'!G126</f>
        <v>2451</v>
      </c>
      <c r="H56" s="193"/>
      <c r="I56" s="1301"/>
      <c r="J56" s="1301"/>
      <c r="K56" s="1311"/>
      <c r="L56" s="233">
        <v>1594</v>
      </c>
      <c r="M56" s="233">
        <v>309941</v>
      </c>
      <c r="N56" s="233">
        <v>450226</v>
      </c>
      <c r="O56" s="233">
        <v>1984</v>
      </c>
      <c r="P56" s="231">
        <v>440</v>
      </c>
      <c r="Q56" s="233"/>
      <c r="R56" s="195"/>
      <c r="S56" s="195"/>
      <c r="T56" s="195"/>
      <c r="U56" s="195"/>
      <c r="V56" s="195"/>
      <c r="W56" s="195"/>
      <c r="X56" s="195"/>
      <c r="Y56" s="195"/>
      <c r="Z56" s="195"/>
      <c r="AA56" s="195"/>
    </row>
    <row r="57" spans="1:27" s="7" customFormat="1" ht="16.5" customHeight="1" x14ac:dyDescent="0.2">
      <c r="A57" s="36" t="s">
        <v>206</v>
      </c>
      <c r="B57" s="277" t="s">
        <v>47</v>
      </c>
      <c r="C57" s="41">
        <f>'BS Analysis Adjustments'!AZ41</f>
        <v>4896</v>
      </c>
      <c r="D57" s="41">
        <f>'BS Analysis Adjustments'!BA41</f>
        <v>5595</v>
      </c>
      <c r="E57" s="41">
        <f>'BS Analysis Adjustments'!BB41</f>
        <v>6085</v>
      </c>
      <c r="F57" s="41">
        <f>'BS Analysis Adjustments'!BC41</f>
        <v>5984</v>
      </c>
      <c r="G57" s="41">
        <f>'BS Analysis Adjustments'!BD41</f>
        <v>6289</v>
      </c>
      <c r="H57" s="193"/>
      <c r="I57" s="1300"/>
      <c r="J57" s="1300"/>
      <c r="K57" s="1312"/>
      <c r="L57" s="236">
        <v>2393</v>
      </c>
      <c r="M57" s="236">
        <v>602614</v>
      </c>
      <c r="N57" s="236">
        <v>861034</v>
      </c>
      <c r="O57" s="236">
        <v>6995</v>
      </c>
      <c r="P57" s="236">
        <v>4678</v>
      </c>
      <c r="Q57" s="236"/>
      <c r="R57" s="82"/>
      <c r="S57" s="82"/>
      <c r="T57" s="82"/>
      <c r="U57" s="82"/>
      <c r="V57" s="82"/>
      <c r="W57" s="82"/>
      <c r="X57" s="82"/>
      <c r="Y57" s="82"/>
      <c r="Z57" s="82"/>
      <c r="AA57" s="82"/>
    </row>
    <row r="58" spans="1:27" s="677" customFormat="1" ht="9" customHeight="1" x14ac:dyDescent="0.2">
      <c r="B58" s="678"/>
      <c r="C58" s="678"/>
      <c r="D58" s="678"/>
      <c r="E58" s="678"/>
      <c r="F58" s="678"/>
      <c r="G58" s="678"/>
      <c r="H58" s="678"/>
      <c r="I58" s="678"/>
      <c r="J58" s="678"/>
      <c r="K58" s="678"/>
      <c r="L58" s="678"/>
      <c r="M58" s="678"/>
      <c r="N58" s="678"/>
      <c r="O58" s="678"/>
      <c r="P58" s="678"/>
      <c r="Q58" s="678"/>
    </row>
    <row r="59" spans="1:27" s="7" customFormat="1" ht="18" customHeight="1" x14ac:dyDescent="0.2">
      <c r="A59" s="679" t="s">
        <v>48</v>
      </c>
      <c r="B59" s="1317" t="str">
        <f>B9</f>
        <v>Fiscal year ended (after analysis adjustments)</v>
      </c>
      <c r="C59" s="1318"/>
      <c r="D59" s="1318"/>
      <c r="E59" s="1318"/>
      <c r="F59" s="1318"/>
      <c r="G59" s="1318"/>
      <c r="H59" s="293"/>
      <c r="I59" s="1304" t="s">
        <v>1079</v>
      </c>
      <c r="J59" s="1304" t="s">
        <v>140</v>
      </c>
      <c r="K59" s="1284" t="s">
        <v>376</v>
      </c>
      <c r="L59" s="1308" t="s">
        <v>284</v>
      </c>
      <c r="M59" s="1308" t="str">
        <f>M9</f>
        <v>Abercrombie &amp; Fitch, Inc.</v>
      </c>
      <c r="N59" s="1308" t="str">
        <f>N9</f>
        <v>Dillard's, Inc.</v>
      </c>
      <c r="O59" s="1308" t="str">
        <f>O9</f>
        <v>Macy's Inc.</v>
      </c>
      <c r="P59" s="1308" t="str">
        <f>P9</f>
        <v>Penney (J.C.) Co.,Inc. (Holding Co.)</v>
      </c>
      <c r="Q59" s="1308" t="str">
        <f>Q9</f>
        <v>N/A</v>
      </c>
      <c r="R59" s="82"/>
      <c r="S59" s="82"/>
      <c r="T59" s="82"/>
      <c r="U59" s="82"/>
      <c r="V59" s="82"/>
      <c r="W59" s="82"/>
      <c r="X59" s="82"/>
      <c r="Y59" s="82"/>
      <c r="Z59" s="82"/>
      <c r="AA59" s="82"/>
    </row>
    <row r="60" spans="1:27" s="41" customFormat="1" ht="16.5" customHeight="1" x14ac:dyDescent="0.35">
      <c r="A60" s="246" t="s">
        <v>139</v>
      </c>
      <c r="B60" s="103">
        <f>'Common-size FS'!B9</f>
        <v>2010</v>
      </c>
      <c r="C60" s="103">
        <f>B60+1</f>
        <v>2011</v>
      </c>
      <c r="D60" s="103">
        <f>C60+1</f>
        <v>2012</v>
      </c>
      <c r="E60" s="103">
        <f>D60+1</f>
        <v>2013</v>
      </c>
      <c r="F60" s="103">
        <f>E60+1</f>
        <v>2014</v>
      </c>
      <c r="G60" s="103">
        <f>F60+1</f>
        <v>2015</v>
      </c>
      <c r="H60" s="294"/>
      <c r="I60" s="1305"/>
      <c r="J60" s="1305"/>
      <c r="K60" s="1285"/>
      <c r="L60" s="1309"/>
      <c r="M60" s="1319"/>
      <c r="N60" s="1319"/>
      <c r="O60" s="1319"/>
      <c r="P60" s="1319"/>
      <c r="Q60" s="1319"/>
      <c r="R60" s="193"/>
      <c r="S60" s="193"/>
      <c r="T60" s="193"/>
      <c r="U60" s="193"/>
      <c r="V60" s="193"/>
      <c r="W60" s="193"/>
      <c r="X60" s="193"/>
      <c r="Y60" s="193"/>
      <c r="Z60" s="193"/>
      <c r="AA60" s="193"/>
    </row>
    <row r="61" spans="1:27" s="315" customFormat="1" ht="24" customHeight="1" x14ac:dyDescent="0.2">
      <c r="A61" s="278" t="s">
        <v>516</v>
      </c>
      <c r="B61" s="284" t="s">
        <v>47</v>
      </c>
      <c r="C61" s="281">
        <f>ROUND((C65+C63*(1-C66))/C68,3)</f>
        <v>8.5000000000000006E-2</v>
      </c>
      <c r="D61" s="281">
        <f>ROUND((D65+D63*(1-D66))/D68,3)</f>
        <v>7.3999999999999996E-2</v>
      </c>
      <c r="E61" s="281">
        <f>ROUND((E65+E63*(1-E66))/E68,3)</f>
        <v>7.0000000000000007E-2</v>
      </c>
      <c r="F61" s="281">
        <f>ROUND((F65+F63*(1-F66))/F68,3)</f>
        <v>6.0999999999999999E-2</v>
      </c>
      <c r="G61" s="281">
        <f>ROUND((G65+G63*(1-G66))/G68,3)</f>
        <v>4.9000000000000002E-2</v>
      </c>
      <c r="H61" s="297"/>
      <c r="I61" s="282">
        <f>'Industry Firm Ratios'!K8</f>
        <v>0.16300000000000001</v>
      </c>
      <c r="J61" s="282">
        <f>'Industry Firm Ratios'!K6</f>
        <v>5.8000000000000003E-2</v>
      </c>
      <c r="K61" s="1313" t="s">
        <v>1091</v>
      </c>
      <c r="L61" s="881" t="s">
        <v>770</v>
      </c>
      <c r="M61" s="452"/>
      <c r="N61" s="452"/>
      <c r="O61" s="452"/>
      <c r="P61" s="452"/>
      <c r="Q61" s="452"/>
      <c r="R61" s="153"/>
      <c r="S61" s="153"/>
      <c r="T61" s="153"/>
      <c r="U61" s="153"/>
      <c r="V61" s="153"/>
      <c r="W61" s="153"/>
      <c r="X61" s="153"/>
      <c r="Y61" s="153"/>
      <c r="Z61" s="153"/>
      <c r="AA61" s="153"/>
    </row>
    <row r="62" spans="1:27" ht="16.5" customHeight="1" x14ac:dyDescent="0.2">
      <c r="A62" s="31" t="s">
        <v>335</v>
      </c>
      <c r="B62" s="92" t="s">
        <v>47</v>
      </c>
      <c r="C62" s="32">
        <f>'IS Analysis Adjustments'!AZ26</f>
        <v>1097</v>
      </c>
      <c r="D62" s="32">
        <f>'IS Analysis Adjustments'!BA26</f>
        <v>1105</v>
      </c>
      <c r="E62" s="32">
        <f>'IS Analysis Adjustments'!BB26</f>
        <v>1105</v>
      </c>
      <c r="F62" s="32">
        <f>'IS Analysis Adjustments'!BC26</f>
        <v>1050</v>
      </c>
      <c r="G62" s="32">
        <f>'IS Analysis Adjustments'!BD26</f>
        <v>750</v>
      </c>
      <c r="I62" s="1294"/>
      <c r="J62" s="1294"/>
      <c r="K62" s="1314"/>
      <c r="L62" s="86"/>
      <c r="M62" s="86"/>
      <c r="N62" s="86"/>
      <c r="O62" s="86"/>
      <c r="P62" s="86"/>
      <c r="Q62" s="86"/>
    </row>
    <row r="63" spans="1:27" ht="16.5" customHeight="1" x14ac:dyDescent="0.2">
      <c r="A63" s="31" t="s">
        <v>137</v>
      </c>
      <c r="B63" s="92" t="s">
        <v>47</v>
      </c>
      <c r="C63" s="32">
        <f>-'IS Analysis Adjustments'!AZ16</f>
        <v>180</v>
      </c>
      <c r="D63" s="32">
        <f>-'IS Analysis Adjustments'!BA16</f>
        <v>209</v>
      </c>
      <c r="E63" s="32">
        <f>-'IS Analysis Adjustments'!BB16</f>
        <v>238</v>
      </c>
      <c r="F63" s="32">
        <f>-'IS Analysis Adjustments'!BC16</f>
        <v>232</v>
      </c>
      <c r="G63" s="32">
        <f>-'IS Analysis Adjustments'!BD16</f>
        <v>240</v>
      </c>
      <c r="I63" s="1316"/>
      <c r="J63" s="1316"/>
      <c r="K63" s="1314"/>
      <c r="L63" s="86"/>
      <c r="M63" s="86"/>
      <c r="N63" s="86"/>
      <c r="O63" s="86"/>
      <c r="P63" s="86"/>
      <c r="Q63" s="86"/>
    </row>
    <row r="64" spans="1:27" ht="16.5" customHeight="1" x14ac:dyDescent="0.2">
      <c r="A64" s="31" t="s">
        <v>373</v>
      </c>
      <c r="B64" s="92" t="s">
        <v>47</v>
      </c>
      <c r="C64" s="32">
        <f>'IS Analysis Adjustments'!AZ27</f>
        <v>427</v>
      </c>
      <c r="D64" s="32">
        <f>'IS Analysis Adjustments'!BA27</f>
        <v>419</v>
      </c>
      <c r="E64" s="32">
        <f>'IS Analysis Adjustments'!BB27</f>
        <v>423</v>
      </c>
      <c r="F64" s="32">
        <f>'IS Analysis Adjustments'!BC27</f>
        <v>412</v>
      </c>
      <c r="G64" s="32">
        <f>'IS Analysis Adjustments'!BD27</f>
        <v>289</v>
      </c>
      <c r="I64" s="1316"/>
      <c r="J64" s="1316"/>
      <c r="K64" s="1314"/>
      <c r="L64" s="86"/>
      <c r="M64" s="86"/>
      <c r="N64" s="86"/>
      <c r="O64" s="86"/>
      <c r="P64" s="86"/>
      <c r="Q64" s="86"/>
    </row>
    <row r="65" spans="1:27" ht="16.5" customHeight="1" x14ac:dyDescent="0.2">
      <c r="A65" s="31" t="s">
        <v>336</v>
      </c>
      <c r="B65" s="92" t="s">
        <v>47</v>
      </c>
      <c r="C65" s="32">
        <f>'IS Analysis Adjustments'!AZ30</f>
        <v>670</v>
      </c>
      <c r="D65" s="32">
        <f>'IS Analysis Adjustments'!BA30</f>
        <v>686</v>
      </c>
      <c r="E65" s="32">
        <f>'IS Analysis Adjustments'!BB30</f>
        <v>682</v>
      </c>
      <c r="F65" s="32">
        <f>'IS Analysis Adjustments'!BC30</f>
        <v>638</v>
      </c>
      <c r="G65" s="32">
        <f>'IS Analysis Adjustments'!BD30</f>
        <v>461</v>
      </c>
      <c r="I65" s="1316"/>
      <c r="J65" s="1316"/>
      <c r="K65" s="1314"/>
      <c r="L65" s="86"/>
      <c r="M65" s="86"/>
      <c r="N65" s="86"/>
      <c r="O65" s="86"/>
      <c r="P65" s="86"/>
      <c r="Q65" s="86"/>
    </row>
    <row r="66" spans="1:27" s="180" customFormat="1" ht="16.5" customHeight="1" x14ac:dyDescent="0.2">
      <c r="A66" s="180" t="s">
        <v>337</v>
      </c>
      <c r="B66" s="92" t="s">
        <v>47</v>
      </c>
      <c r="C66" s="299">
        <f>ROUND(C64/C62,3)</f>
        <v>0.38900000000000001</v>
      </c>
      <c r="D66" s="299">
        <f>ROUND(D64/D62,3)</f>
        <v>0.379</v>
      </c>
      <c r="E66" s="299">
        <f>ROUND(E64/E62,3)</f>
        <v>0.38300000000000001</v>
      </c>
      <c r="F66" s="299">
        <f>ROUND(F64/F62,3)</f>
        <v>0.39200000000000002</v>
      </c>
      <c r="G66" s="299">
        <f>ROUND(G64/G62,3)</f>
        <v>0.38500000000000001</v>
      </c>
      <c r="H66" s="300"/>
      <c r="I66" s="1316"/>
      <c r="J66" s="1316"/>
      <c r="K66" s="1314"/>
      <c r="L66" s="453"/>
      <c r="M66" s="453"/>
      <c r="N66" s="453"/>
      <c r="O66" s="453"/>
      <c r="P66" s="453"/>
      <c r="Q66" s="453"/>
      <c r="R66" s="301"/>
      <c r="S66" s="301"/>
      <c r="T66" s="301"/>
      <c r="U66" s="301"/>
      <c r="V66" s="301"/>
      <c r="W66" s="301"/>
      <c r="X66" s="301"/>
      <c r="Y66" s="301"/>
      <c r="Z66" s="301"/>
      <c r="AA66" s="301"/>
    </row>
    <row r="67" spans="1:27" ht="16.5" customHeight="1" x14ac:dyDescent="0.2">
      <c r="A67" s="31" t="s">
        <v>50</v>
      </c>
      <c r="B67" s="32">
        <f>'Common-size FS'!B29</f>
        <v>7462</v>
      </c>
      <c r="C67" s="32">
        <f>'BS Analysis Adjustments'!AZ23</f>
        <v>10785</v>
      </c>
      <c r="D67" s="32">
        <f>'BS Analysis Adjustments'!BA23</f>
        <v>11260</v>
      </c>
      <c r="E67" s="32">
        <f>'BS Analysis Adjustments'!BB23</f>
        <v>12264</v>
      </c>
      <c r="F67" s="32">
        <f>'BS Analysis Adjustments'!BC23</f>
        <v>13163</v>
      </c>
      <c r="G67" s="32">
        <f>'BS Analysis Adjustments'!BD23</f>
        <v>11918</v>
      </c>
      <c r="I67" s="1316"/>
      <c r="J67" s="1316"/>
      <c r="K67" s="1314"/>
      <c r="L67" s="86"/>
      <c r="M67" s="86"/>
      <c r="N67" s="86"/>
      <c r="O67" s="86"/>
      <c r="P67" s="86"/>
      <c r="Q67" s="86"/>
    </row>
    <row r="68" spans="1:27" ht="16.5" customHeight="1" x14ac:dyDescent="0.2">
      <c r="A68" s="31" t="s">
        <v>142</v>
      </c>
      <c r="B68" s="92" t="s">
        <v>47</v>
      </c>
      <c r="C68" s="93">
        <f>ROUND(AVERAGE(B67:C67),0)</f>
        <v>9124</v>
      </c>
      <c r="D68" s="93">
        <f>ROUND(AVERAGE(C67:D67),0)</f>
        <v>11023</v>
      </c>
      <c r="E68" s="93">
        <f>ROUND(AVERAGE(D67:E67),0)</f>
        <v>11762</v>
      </c>
      <c r="F68" s="93">
        <f>ROUND(AVERAGE(E67:F67),0)</f>
        <v>12714</v>
      </c>
      <c r="G68" s="93">
        <f>ROUND(AVERAGE(F67:G67),0)</f>
        <v>12541</v>
      </c>
      <c r="I68" s="1295"/>
      <c r="J68" s="1295"/>
      <c r="K68" s="1315"/>
      <c r="L68" s="448"/>
      <c r="M68" s="448"/>
      <c r="N68" s="448"/>
      <c r="O68" s="448"/>
      <c r="P68" s="448"/>
      <c r="Q68" s="448"/>
    </row>
    <row r="69" spans="1:27" s="314" customFormat="1" ht="24" customHeight="1" x14ac:dyDescent="0.2">
      <c r="A69" s="272" t="s">
        <v>258</v>
      </c>
      <c r="B69" s="97" t="s">
        <v>47</v>
      </c>
      <c r="C69" s="95">
        <f>ROUND(C72/C74,3)</f>
        <v>0.33700000000000002</v>
      </c>
      <c r="D69" s="95">
        <f>ROUND(D72/D74,3)</f>
        <v>0.35499999999999998</v>
      </c>
      <c r="E69" s="95">
        <f>ROUND(E72/E74,3)</f>
        <v>0.34200000000000003</v>
      </c>
      <c r="F69" s="95">
        <f>ROUND(F72/F74,3)</f>
        <v>0.28199999999999997</v>
      </c>
      <c r="G69" s="95">
        <f>ROUND(G72/G74,3)</f>
        <v>0.27800000000000002</v>
      </c>
      <c r="H69" s="297"/>
      <c r="I69" s="102">
        <f>'Industry Firm Ratios'!L8</f>
        <v>0.41870000000000002</v>
      </c>
      <c r="J69" s="102">
        <f>'Industry Firm Ratios'!L6</f>
        <v>0.14899999999999999</v>
      </c>
      <c r="K69" s="1313" t="s">
        <v>1091</v>
      </c>
      <c r="L69" s="881" t="s">
        <v>770</v>
      </c>
      <c r="M69" s="454"/>
      <c r="N69" s="454"/>
      <c r="O69" s="454"/>
      <c r="P69" s="454"/>
      <c r="Q69" s="454"/>
      <c r="R69" s="313"/>
      <c r="S69" s="313"/>
      <c r="T69" s="313"/>
      <c r="U69" s="313"/>
      <c r="V69" s="313"/>
      <c r="W69" s="313"/>
      <c r="X69" s="313"/>
      <c r="Y69" s="313"/>
      <c r="Z69" s="313"/>
      <c r="AA69" s="313"/>
    </row>
    <row r="70" spans="1:27" ht="16.5" customHeight="1" x14ac:dyDescent="0.2">
      <c r="A70" s="31" t="s">
        <v>766</v>
      </c>
      <c r="B70" s="92" t="s">
        <v>47</v>
      </c>
      <c r="C70" s="32">
        <f>'IS Analysis Adjustments'!AZ30</f>
        <v>670</v>
      </c>
      <c r="D70" s="32">
        <f>'IS Analysis Adjustments'!BA30</f>
        <v>686</v>
      </c>
      <c r="E70" s="32">
        <f>'IS Analysis Adjustments'!BB30</f>
        <v>682</v>
      </c>
      <c r="F70" s="32">
        <f>'IS Analysis Adjustments'!BC30</f>
        <v>638</v>
      </c>
      <c r="G70" s="32">
        <f>'IS Analysis Adjustments'!BD30</f>
        <v>461</v>
      </c>
      <c r="I70" s="1294"/>
      <c r="J70" s="1294"/>
      <c r="K70" s="1314"/>
      <c r="L70" s="86"/>
      <c r="M70" s="86"/>
      <c r="N70" s="86"/>
      <c r="O70" s="86"/>
      <c r="P70" s="86"/>
      <c r="Q70" s="86"/>
    </row>
    <row r="71" spans="1:27" s="20" customFormat="1" ht="16.5" customHeight="1" x14ac:dyDescent="0.2">
      <c r="A71" s="113" t="s">
        <v>767</v>
      </c>
      <c r="B71" s="291" t="s">
        <v>47</v>
      </c>
      <c r="C71" s="232">
        <v>0</v>
      </c>
      <c r="D71" s="232">
        <v>0</v>
      </c>
      <c r="E71" s="232">
        <v>0</v>
      </c>
      <c r="F71" s="232">
        <v>0</v>
      </c>
      <c r="G71" s="232">
        <v>0</v>
      </c>
      <c r="H71" s="513"/>
      <c r="I71" s="1316"/>
      <c r="J71" s="1316"/>
      <c r="K71" s="1314"/>
      <c r="L71" s="514"/>
      <c r="M71" s="514"/>
      <c r="N71" s="514"/>
      <c r="O71" s="514"/>
      <c r="P71" s="514"/>
      <c r="Q71" s="514"/>
      <c r="R71" s="194"/>
      <c r="S71" s="194"/>
      <c r="T71" s="194"/>
      <c r="U71" s="194"/>
      <c r="V71" s="194"/>
      <c r="W71" s="194"/>
      <c r="X71" s="194"/>
      <c r="Y71" s="194"/>
      <c r="Z71" s="194"/>
      <c r="AA71" s="194"/>
    </row>
    <row r="72" spans="1:27" s="49" customFormat="1" ht="16.5" customHeight="1" x14ac:dyDescent="0.2">
      <c r="A72" s="89" t="s">
        <v>375</v>
      </c>
      <c r="B72" s="306" t="s">
        <v>47</v>
      </c>
      <c r="C72" s="76">
        <f>C70-C71</f>
        <v>670</v>
      </c>
      <c r="D72" s="76">
        <f>D70-D71</f>
        <v>686</v>
      </c>
      <c r="E72" s="76">
        <f>E70-E71</f>
        <v>682</v>
      </c>
      <c r="F72" s="76">
        <f>F70-F71</f>
        <v>638</v>
      </c>
      <c r="G72" s="76">
        <f>G70-G71</f>
        <v>461</v>
      </c>
      <c r="H72" s="262"/>
      <c r="I72" s="1316"/>
      <c r="J72" s="1316"/>
      <c r="K72" s="1314"/>
      <c r="L72" s="447"/>
      <c r="M72" s="447"/>
      <c r="N72" s="447"/>
      <c r="O72" s="447"/>
      <c r="P72" s="447"/>
      <c r="Q72" s="447"/>
      <c r="R72" s="196"/>
      <c r="S72" s="196"/>
      <c r="T72" s="196"/>
      <c r="U72" s="196"/>
      <c r="V72" s="196"/>
      <c r="W72" s="196"/>
      <c r="X72" s="196"/>
      <c r="Y72" s="196"/>
      <c r="Z72" s="196"/>
      <c r="AA72" s="196"/>
    </row>
    <row r="73" spans="1:27" ht="16.5" customHeight="1" x14ac:dyDescent="0.2">
      <c r="A73" s="112" t="s">
        <v>340</v>
      </c>
      <c r="B73" s="32">
        <f>SUM('Common-size FS'!B56:B62)</f>
        <v>2021</v>
      </c>
      <c r="C73" s="32">
        <f>SUM('BS Analysis Adjustments'!AZ46:AZ52)</f>
        <v>1956</v>
      </c>
      <c r="D73" s="32">
        <f>SUM('BS Analysis Adjustments'!BA46:BA52)</f>
        <v>1913</v>
      </c>
      <c r="E73" s="32">
        <f>SUM('BS Analysis Adjustments'!BB46:BB52)</f>
        <v>2080</v>
      </c>
      <c r="F73" s="32">
        <f>SUM('BS Analysis Adjustments'!BC46:BC52)</f>
        <v>2440</v>
      </c>
      <c r="G73" s="32">
        <f>SUM('BS Analysis Adjustments'!BD46:BD52)</f>
        <v>871</v>
      </c>
      <c r="I73" s="1316"/>
      <c r="J73" s="1316"/>
      <c r="K73" s="1314"/>
      <c r="L73" s="86"/>
      <c r="M73" s="86"/>
      <c r="N73" s="86"/>
      <c r="O73" s="86"/>
      <c r="P73" s="86"/>
      <c r="Q73" s="86"/>
    </row>
    <row r="74" spans="1:27" s="13" customFormat="1" ht="16.5" customHeight="1" x14ac:dyDescent="0.2">
      <c r="A74" s="56" t="s">
        <v>341</v>
      </c>
      <c r="B74" s="277" t="s">
        <v>47</v>
      </c>
      <c r="C74" s="292">
        <f>ROUND(AVERAGE(B73:C73),0)</f>
        <v>1989</v>
      </c>
      <c r="D74" s="292">
        <f>ROUND(AVERAGE(C73:D73),0)</f>
        <v>1935</v>
      </c>
      <c r="E74" s="292">
        <f>ROUND(AVERAGE(D73:E73),0)</f>
        <v>1997</v>
      </c>
      <c r="F74" s="292">
        <f>ROUND(AVERAGE(E73:F73),0)</f>
        <v>2260</v>
      </c>
      <c r="G74" s="292">
        <f>ROUND(AVERAGE(F73:G73),0)</f>
        <v>1656</v>
      </c>
      <c r="H74" s="193"/>
      <c r="I74" s="1295"/>
      <c r="J74" s="1295"/>
      <c r="K74" s="1315"/>
      <c r="L74" s="455"/>
      <c r="M74" s="455"/>
      <c r="N74" s="455"/>
      <c r="O74" s="455"/>
      <c r="P74" s="455"/>
      <c r="Q74" s="455"/>
      <c r="R74" s="88"/>
      <c r="S74" s="88"/>
      <c r="T74" s="88"/>
      <c r="U74" s="88"/>
      <c r="V74" s="88"/>
      <c r="W74" s="88"/>
      <c r="X74" s="88"/>
      <c r="Y74" s="88"/>
      <c r="Z74" s="88"/>
      <c r="AA74" s="88"/>
    </row>
    <row r="75" spans="1:27" s="677" customFormat="1" ht="9" customHeight="1" x14ac:dyDescent="0.2">
      <c r="B75" s="678"/>
      <c r="C75" s="678"/>
      <c r="D75" s="678"/>
      <c r="E75" s="678"/>
      <c r="F75" s="678"/>
      <c r="G75" s="678"/>
      <c r="H75" s="678"/>
      <c r="I75" s="678"/>
      <c r="J75" s="678"/>
      <c r="K75" s="678"/>
      <c r="L75" s="678"/>
      <c r="M75" s="678"/>
      <c r="N75" s="678"/>
      <c r="O75" s="678"/>
      <c r="P75" s="678"/>
      <c r="Q75" s="678"/>
    </row>
    <row r="76" spans="1:27" s="7" customFormat="1" ht="18" customHeight="1" x14ac:dyDescent="0.2">
      <c r="A76" s="679" t="s">
        <v>51</v>
      </c>
      <c r="B76" s="1317" t="str">
        <f>B9</f>
        <v>Fiscal year ended (after analysis adjustments)</v>
      </c>
      <c r="C76" s="1318"/>
      <c r="D76" s="1318"/>
      <c r="E76" s="1318"/>
      <c r="F76" s="1318"/>
      <c r="G76" s="1318"/>
      <c r="H76" s="293"/>
      <c r="I76" s="1304" t="s">
        <v>1079</v>
      </c>
      <c r="J76" s="1304" t="s">
        <v>140</v>
      </c>
      <c r="K76" s="1284" t="s">
        <v>376</v>
      </c>
      <c r="L76" s="1308" t="s">
        <v>284</v>
      </c>
      <c r="M76" s="1308" t="str">
        <f>M9</f>
        <v>Abercrombie &amp; Fitch, Inc.</v>
      </c>
      <c r="N76" s="1308" t="str">
        <f>N9</f>
        <v>Dillard's, Inc.</v>
      </c>
      <c r="O76" s="1308" t="str">
        <f>O9</f>
        <v>Macy's Inc.</v>
      </c>
      <c r="P76" s="1308" t="str">
        <f>P9</f>
        <v>Penney (J.C.) Co.,Inc. (Holding Co.)</v>
      </c>
      <c r="Q76" s="1308" t="str">
        <f>Q9</f>
        <v>N/A</v>
      </c>
      <c r="R76" s="82"/>
      <c r="S76" s="82"/>
      <c r="T76" s="82"/>
      <c r="U76" s="82"/>
      <c r="V76" s="82"/>
      <c r="W76" s="82"/>
      <c r="X76" s="82"/>
      <c r="Y76" s="82"/>
      <c r="Z76" s="82"/>
      <c r="AA76" s="82"/>
    </row>
    <row r="77" spans="1:27" s="41" customFormat="1" ht="16.5" customHeight="1" x14ac:dyDescent="0.35">
      <c r="A77" s="246" t="s">
        <v>139</v>
      </c>
      <c r="B77" s="103">
        <f>'Common-size FS'!B9</f>
        <v>2010</v>
      </c>
      <c r="C77" s="103">
        <f>B77+1</f>
        <v>2011</v>
      </c>
      <c r="D77" s="103">
        <f>C77+1</f>
        <v>2012</v>
      </c>
      <c r="E77" s="103">
        <f>D77+1</f>
        <v>2013</v>
      </c>
      <c r="F77" s="103">
        <f>E77+1</f>
        <v>2014</v>
      </c>
      <c r="G77" s="103">
        <f>F77+1</f>
        <v>2015</v>
      </c>
      <c r="H77" s="294"/>
      <c r="I77" s="1305"/>
      <c r="J77" s="1305"/>
      <c r="K77" s="1285"/>
      <c r="L77" s="1309"/>
      <c r="M77" s="1319"/>
      <c r="N77" s="1319"/>
      <c r="O77" s="1319"/>
      <c r="P77" s="1319"/>
      <c r="Q77" s="1319"/>
      <c r="R77" s="193"/>
      <c r="S77" s="193"/>
      <c r="T77" s="193"/>
      <c r="U77" s="193"/>
      <c r="V77" s="193"/>
      <c r="W77" s="193"/>
      <c r="X77" s="193"/>
      <c r="Y77" s="193"/>
      <c r="Z77" s="193"/>
      <c r="AA77" s="193"/>
    </row>
    <row r="78" spans="1:27" s="315" customFormat="1" ht="24" customHeight="1" x14ac:dyDescent="0.2">
      <c r="A78" s="283" t="s">
        <v>397</v>
      </c>
      <c r="B78" s="284" t="s">
        <v>47</v>
      </c>
      <c r="C78" s="281">
        <f>ROUND((C79-C80)/C79,3)</f>
        <v>0.39</v>
      </c>
      <c r="D78" s="281">
        <f>ROUND((D79-D80)/D79,3)</f>
        <v>0.38100000000000001</v>
      </c>
      <c r="E78" s="281">
        <f>ROUND((E79-E80)/E79,3)</f>
        <v>0.379</v>
      </c>
      <c r="F78" s="281">
        <f>ROUND((F79-F80)/F79,3)</f>
        <v>0.371</v>
      </c>
      <c r="G78" s="281">
        <f>ROUND((G79-G80)/G79,3)</f>
        <v>0.35299999999999998</v>
      </c>
      <c r="H78" s="297"/>
      <c r="I78" s="282">
        <f>'Industry Firm Ratios'!M8</f>
        <v>0.38269999999999998</v>
      </c>
      <c r="J78" s="282">
        <f>'Industry Firm Ratios'!M6</f>
        <v>0.41599999999999998</v>
      </c>
      <c r="K78" s="1310" t="s">
        <v>1046</v>
      </c>
      <c r="L78" s="881" t="s">
        <v>770</v>
      </c>
      <c r="M78" s="452"/>
      <c r="N78" s="452"/>
      <c r="O78" s="452"/>
      <c r="P78" s="452"/>
      <c r="Q78" s="452"/>
      <c r="R78" s="153"/>
      <c r="S78" s="153"/>
      <c r="T78" s="153"/>
      <c r="U78" s="153"/>
      <c r="V78" s="153"/>
      <c r="W78" s="153"/>
      <c r="X78" s="153"/>
      <c r="Y78" s="153"/>
      <c r="Z78" s="153"/>
      <c r="AA78" s="153"/>
    </row>
    <row r="79" spans="1:27" ht="16.5" customHeight="1" x14ac:dyDescent="0.2">
      <c r="A79" s="31" t="s">
        <v>329</v>
      </c>
      <c r="B79" s="92" t="s">
        <v>47</v>
      </c>
      <c r="C79" s="32">
        <f>'IS Analysis Adjustments'!AZ4</f>
        <v>10877</v>
      </c>
      <c r="D79" s="32">
        <f>'IS Analysis Adjustments'!BA4</f>
        <v>12148</v>
      </c>
      <c r="E79" s="32">
        <f>'IS Analysis Adjustments'!BB4</f>
        <v>12540</v>
      </c>
      <c r="F79" s="32">
        <f>'IS Analysis Adjustments'!BC4</f>
        <v>13506</v>
      </c>
      <c r="G79" s="32">
        <f>'IS Analysis Adjustments'!BD4</f>
        <v>14373</v>
      </c>
      <c r="I79" s="1294"/>
      <c r="J79" s="1294"/>
      <c r="K79" s="1311"/>
      <c r="L79" s="86"/>
      <c r="M79" s="86"/>
      <c r="N79" s="86"/>
      <c r="O79" s="86"/>
      <c r="P79" s="86"/>
      <c r="Q79" s="86"/>
    </row>
    <row r="80" spans="1:27" ht="16.5" customHeight="1" x14ac:dyDescent="0.2">
      <c r="A80" s="31" t="s">
        <v>332</v>
      </c>
      <c r="B80" s="92" t="s">
        <v>47</v>
      </c>
      <c r="C80" s="32">
        <f>'IS Analysis Adjustments'!AZ5</f>
        <v>6633</v>
      </c>
      <c r="D80" s="32">
        <f>'IS Analysis Adjustments'!BA5</f>
        <v>7515</v>
      </c>
      <c r="E80" s="32">
        <f>'IS Analysis Adjustments'!BB5</f>
        <v>7789</v>
      </c>
      <c r="F80" s="32">
        <f>'IS Analysis Adjustments'!BC5</f>
        <v>8490</v>
      </c>
      <c r="G80" s="32">
        <f>'IS Analysis Adjustments'!BD5</f>
        <v>9293</v>
      </c>
      <c r="I80" s="1295"/>
      <c r="J80" s="1295"/>
      <c r="K80" s="1312"/>
      <c r="L80" s="86"/>
      <c r="M80" s="86"/>
      <c r="N80" s="86"/>
      <c r="O80" s="86"/>
      <c r="P80" s="86"/>
      <c r="Q80" s="86"/>
    </row>
    <row r="81" spans="1:27" s="84" customFormat="1" ht="24" customHeight="1" x14ac:dyDescent="0.2">
      <c r="A81" s="272" t="s">
        <v>350</v>
      </c>
      <c r="B81" s="97" t="s">
        <v>47</v>
      </c>
      <c r="C81" s="94">
        <f>ROUND(C82/C83,3)</f>
        <v>0.22</v>
      </c>
      <c r="D81" s="94">
        <f>ROUND(D82/D83,3)</f>
        <v>0.218</v>
      </c>
      <c r="E81" s="94">
        <f>ROUND(E82/E83,3)</f>
        <v>0.21299999999999999</v>
      </c>
      <c r="F81" s="94">
        <f>ROUND(F82/F83,3)</f>
        <v>0.214</v>
      </c>
      <c r="G81" s="94">
        <f>ROUND(G82/G83,3)</f>
        <v>0.217</v>
      </c>
      <c r="H81" s="297"/>
      <c r="I81" s="102">
        <f>'Industry Firm Ratios'!N8</f>
        <v>0.2656</v>
      </c>
      <c r="J81" s="102">
        <f>'Industry Firm Ratios'!N6</f>
        <v>0.33300000000000002</v>
      </c>
      <c r="K81" s="1310" t="s">
        <v>1046</v>
      </c>
      <c r="L81" s="881" t="s">
        <v>770</v>
      </c>
      <c r="M81" s="456"/>
      <c r="N81" s="456"/>
      <c r="O81" s="456"/>
      <c r="P81" s="456"/>
      <c r="Q81" s="456"/>
      <c r="R81" s="313"/>
      <c r="S81" s="313"/>
      <c r="T81" s="313"/>
      <c r="U81" s="313"/>
      <c r="V81" s="313"/>
      <c r="W81" s="313"/>
      <c r="X81" s="313"/>
      <c r="Y81" s="313"/>
      <c r="Z81" s="313"/>
      <c r="AA81" s="313"/>
    </row>
    <row r="82" spans="1:27" s="32" customFormat="1" ht="16.5" customHeight="1" x14ac:dyDescent="0.2">
      <c r="A82" s="32" t="s">
        <v>351</v>
      </c>
      <c r="B82" s="92" t="s">
        <v>47</v>
      </c>
      <c r="C82" s="32">
        <f>'IS Analysis Adjustments'!AZ8</f>
        <v>2394</v>
      </c>
      <c r="D82" s="32">
        <f>'IS Analysis Adjustments'!BA8</f>
        <v>2652</v>
      </c>
      <c r="E82" s="32">
        <f>'IS Analysis Adjustments'!BB8</f>
        <v>2672</v>
      </c>
      <c r="F82" s="32">
        <f>'IS Analysis Adjustments'!BC8</f>
        <v>2889</v>
      </c>
      <c r="G82" s="32">
        <f>'IS Analysis Adjustments'!BD8</f>
        <v>3121</v>
      </c>
      <c r="H82" s="193"/>
      <c r="I82" s="1294"/>
      <c r="J82" s="1294"/>
      <c r="K82" s="1311"/>
      <c r="L82" s="86"/>
      <c r="M82" s="86"/>
      <c r="N82" s="86"/>
      <c r="O82" s="86"/>
      <c r="P82" s="86"/>
      <c r="Q82" s="86"/>
      <c r="R82" s="96"/>
      <c r="S82" s="96"/>
      <c r="T82" s="96"/>
      <c r="U82" s="96"/>
      <c r="V82" s="96"/>
      <c r="W82" s="96"/>
      <c r="X82" s="96"/>
      <c r="Y82" s="96"/>
      <c r="Z82" s="96"/>
      <c r="AA82" s="96"/>
    </row>
    <row r="83" spans="1:27" s="32" customFormat="1" ht="16.5" customHeight="1" x14ac:dyDescent="0.2">
      <c r="A83" s="32" t="s">
        <v>329</v>
      </c>
      <c r="B83" s="92" t="s">
        <v>47</v>
      </c>
      <c r="C83" s="32">
        <f>'IS Analysis Adjustments'!AZ4</f>
        <v>10877</v>
      </c>
      <c r="D83" s="32">
        <f>'IS Analysis Adjustments'!BA4</f>
        <v>12148</v>
      </c>
      <c r="E83" s="32">
        <f>'IS Analysis Adjustments'!BB4</f>
        <v>12540</v>
      </c>
      <c r="F83" s="32">
        <f>'IS Analysis Adjustments'!BC4</f>
        <v>13506</v>
      </c>
      <c r="G83" s="32">
        <f>'IS Analysis Adjustments'!BD4</f>
        <v>14373</v>
      </c>
      <c r="H83" s="193"/>
      <c r="I83" s="1295"/>
      <c r="J83" s="1295"/>
      <c r="K83" s="1312"/>
      <c r="L83" s="86"/>
      <c r="M83" s="86"/>
      <c r="N83" s="86"/>
      <c r="O83" s="86"/>
      <c r="P83" s="86"/>
      <c r="Q83" s="86"/>
      <c r="R83" s="96"/>
      <c r="S83" s="96"/>
      <c r="T83" s="96"/>
      <c r="U83" s="96"/>
      <c r="V83" s="96"/>
      <c r="W83" s="96"/>
      <c r="X83" s="96"/>
      <c r="Y83" s="96"/>
      <c r="Z83" s="96"/>
      <c r="AA83" s="96"/>
    </row>
    <row r="84" spans="1:27" s="84" customFormat="1" ht="24" customHeight="1" x14ac:dyDescent="0.2">
      <c r="A84" s="272" t="s">
        <v>398</v>
      </c>
      <c r="B84" s="97" t="s">
        <v>47</v>
      </c>
      <c r="C84" s="94">
        <f>ROUND(C85/C86,3)</f>
        <v>0</v>
      </c>
      <c r="D84" s="94">
        <f>ROUND(D85/D86,3)</f>
        <v>0</v>
      </c>
      <c r="E84" s="94">
        <f>ROUND(E85/E86,3)</f>
        <v>0</v>
      </c>
      <c r="F84" s="94">
        <f>ROUND(F85/F86,3)</f>
        <v>0</v>
      </c>
      <c r="G84" s="94">
        <f>ROUND(G85/G86,3)</f>
        <v>0</v>
      </c>
      <c r="H84" s="297"/>
      <c r="I84" s="102">
        <f>'Industry Firm Ratios'!O8</f>
        <v>0</v>
      </c>
      <c r="J84" s="102">
        <f>'Industry Firm Ratios'!O6</f>
        <v>0</v>
      </c>
      <c r="K84" s="1310" t="s">
        <v>1046</v>
      </c>
      <c r="L84" s="881" t="s">
        <v>770</v>
      </c>
      <c r="M84" s="456"/>
      <c r="N84" s="456"/>
      <c r="O84" s="456"/>
      <c r="P84" s="456"/>
      <c r="Q84" s="456"/>
      <c r="R84" s="313"/>
      <c r="S84" s="313"/>
      <c r="T84" s="313"/>
      <c r="U84" s="313"/>
      <c r="V84" s="313"/>
      <c r="W84" s="313"/>
      <c r="X84" s="313"/>
      <c r="Y84" s="313"/>
      <c r="Z84" s="313"/>
      <c r="AA84" s="313"/>
    </row>
    <row r="85" spans="1:27" s="32" customFormat="1" ht="16.5" customHeight="1" x14ac:dyDescent="0.2">
      <c r="A85" s="32" t="s">
        <v>354</v>
      </c>
      <c r="B85" s="92" t="s">
        <v>47</v>
      </c>
      <c r="C85" s="32">
        <f>'IS Analysis Adjustments'!AZ9</f>
        <v>0</v>
      </c>
      <c r="D85" s="32">
        <f>'IS Analysis Adjustments'!BA9</f>
        <v>0</v>
      </c>
      <c r="E85" s="32">
        <f>'IS Analysis Adjustments'!BB9</f>
        <v>0</v>
      </c>
      <c r="F85" s="32">
        <f>'IS Analysis Adjustments'!BC9</f>
        <v>0</v>
      </c>
      <c r="G85" s="32">
        <f>'IS Analysis Adjustments'!BD9</f>
        <v>0</v>
      </c>
      <c r="H85" s="193"/>
      <c r="I85" s="1294"/>
      <c r="J85" s="1294"/>
      <c r="K85" s="1311"/>
      <c r="L85" s="86"/>
      <c r="M85" s="86"/>
      <c r="N85" s="86"/>
      <c r="O85" s="86"/>
      <c r="P85" s="86"/>
      <c r="Q85" s="86"/>
      <c r="R85" s="96"/>
      <c r="S85" s="96"/>
      <c r="T85" s="96"/>
      <c r="U85" s="96"/>
      <c r="V85" s="96"/>
      <c r="W85" s="96"/>
      <c r="X85" s="96"/>
      <c r="Y85" s="96"/>
      <c r="Z85" s="96"/>
      <c r="AA85" s="96"/>
    </row>
    <row r="86" spans="1:27" s="32" customFormat="1" ht="16.5" customHeight="1" x14ac:dyDescent="0.2">
      <c r="A86" s="31" t="s">
        <v>329</v>
      </c>
      <c r="B86" s="92" t="s">
        <v>47</v>
      </c>
      <c r="C86" s="32">
        <f>'IS Analysis Adjustments'!AZ4</f>
        <v>10877</v>
      </c>
      <c r="D86" s="32">
        <f>'IS Analysis Adjustments'!BA4</f>
        <v>12148</v>
      </c>
      <c r="E86" s="32">
        <f>'IS Analysis Adjustments'!BB4</f>
        <v>12540</v>
      </c>
      <c r="F86" s="32">
        <f>'IS Analysis Adjustments'!BC4</f>
        <v>13506</v>
      </c>
      <c r="G86" s="32">
        <f>'IS Analysis Adjustments'!BD4</f>
        <v>14373</v>
      </c>
      <c r="H86" s="193"/>
      <c r="I86" s="1295"/>
      <c r="J86" s="1295"/>
      <c r="K86" s="1312"/>
      <c r="L86" s="86"/>
      <c r="M86" s="86"/>
      <c r="N86" s="86"/>
      <c r="O86" s="86"/>
      <c r="P86" s="86"/>
      <c r="Q86" s="86"/>
      <c r="R86" s="96"/>
      <c r="S86" s="96"/>
      <c r="T86" s="96"/>
      <c r="U86" s="96"/>
      <c r="V86" s="96"/>
      <c r="W86" s="96"/>
      <c r="X86" s="96"/>
      <c r="Y86" s="96"/>
      <c r="Z86" s="96"/>
      <c r="AA86" s="96"/>
    </row>
    <row r="87" spans="1:27" s="84" customFormat="1" ht="24" customHeight="1" x14ac:dyDescent="0.2">
      <c r="A87" s="272" t="s">
        <v>400</v>
      </c>
      <c r="B87" s="97" t="s">
        <v>47</v>
      </c>
      <c r="C87" s="94">
        <f>ROUND(C88/C89,3)</f>
        <v>1.2E-2</v>
      </c>
      <c r="D87" s="94">
        <f>ROUND(D88/D89,3)</f>
        <v>1.2999999999999999E-2</v>
      </c>
      <c r="E87" s="94">
        <f>ROUND(E88/E89,3)</f>
        <v>1.2999999999999999E-2</v>
      </c>
      <c r="F87" s="94">
        <f>ROUND(F88/F89,3)</f>
        <v>1.4E-2</v>
      </c>
      <c r="G87" s="94">
        <f>ROUND(G88/G89,3)</f>
        <v>1.6E-2</v>
      </c>
      <c r="H87" s="297"/>
      <c r="I87" s="102">
        <f>'Industry Firm Ratios'!P8</f>
        <v>3.8899999999999997E-2</v>
      </c>
      <c r="J87" s="102">
        <f>'Industry Firm Ratios'!P6</f>
        <v>3.3000000000000002E-2</v>
      </c>
      <c r="K87" s="1310" t="s">
        <v>1046</v>
      </c>
      <c r="L87" s="881" t="s">
        <v>770</v>
      </c>
      <c r="M87" s="456"/>
      <c r="N87" s="456"/>
      <c r="O87" s="456"/>
      <c r="P87" s="456"/>
      <c r="Q87" s="456"/>
      <c r="R87" s="313"/>
      <c r="S87" s="313"/>
      <c r="T87" s="313"/>
      <c r="U87" s="313"/>
      <c r="V87" s="313"/>
      <c r="W87" s="313"/>
      <c r="X87" s="313"/>
      <c r="Y87" s="313"/>
      <c r="Z87" s="313"/>
      <c r="AA87" s="313"/>
    </row>
    <row r="88" spans="1:27" s="32" customFormat="1" ht="16.5" customHeight="1" x14ac:dyDescent="0.2">
      <c r="A88" s="32" t="s">
        <v>353</v>
      </c>
      <c r="B88" s="92" t="s">
        <v>47</v>
      </c>
      <c r="C88" s="92">
        <f>'IS Analysis Adjustments'!AZ10</f>
        <v>128</v>
      </c>
      <c r="D88" s="92">
        <f>'IS Analysis Adjustments'!BA10</f>
        <v>161</v>
      </c>
      <c r="E88" s="92">
        <f>'IS Analysis Adjustments'!BB10</f>
        <v>167</v>
      </c>
      <c r="F88" s="92">
        <f>'IS Analysis Adjustments'!BC10</f>
        <v>195</v>
      </c>
      <c r="G88" s="92">
        <f>'IS Analysis Adjustments'!BD10</f>
        <v>227</v>
      </c>
      <c r="H88" s="193"/>
      <c r="I88" s="1294"/>
      <c r="J88" s="1294"/>
      <c r="K88" s="1311"/>
      <c r="L88" s="457"/>
      <c r="M88" s="457"/>
      <c r="N88" s="457"/>
      <c r="O88" s="457"/>
      <c r="P88" s="457"/>
      <c r="Q88" s="457"/>
      <c r="R88" s="96"/>
      <c r="S88" s="96"/>
      <c r="T88" s="96"/>
      <c r="U88" s="96"/>
      <c r="V88" s="96"/>
      <c r="W88" s="96"/>
      <c r="X88" s="96"/>
      <c r="Y88" s="96"/>
      <c r="Z88" s="96"/>
      <c r="AA88" s="96"/>
    </row>
    <row r="89" spans="1:27" s="32" customFormat="1" ht="16.5" customHeight="1" x14ac:dyDescent="0.2">
      <c r="A89" s="31" t="s">
        <v>329</v>
      </c>
      <c r="B89" s="92" t="s">
        <v>47</v>
      </c>
      <c r="C89" s="32">
        <f>'IS Analysis Adjustments'!AZ4</f>
        <v>10877</v>
      </c>
      <c r="D89" s="32">
        <f>'IS Analysis Adjustments'!BA4</f>
        <v>12148</v>
      </c>
      <c r="E89" s="32">
        <f>'IS Analysis Adjustments'!BB4</f>
        <v>12540</v>
      </c>
      <c r="F89" s="32">
        <f>'IS Analysis Adjustments'!BC4</f>
        <v>13506</v>
      </c>
      <c r="G89" s="32">
        <f>'IS Analysis Adjustments'!BD4</f>
        <v>14373</v>
      </c>
      <c r="H89" s="193"/>
      <c r="I89" s="1295"/>
      <c r="J89" s="1295"/>
      <c r="K89" s="1312"/>
      <c r="L89" s="86"/>
      <c r="M89" s="86"/>
      <c r="N89" s="86"/>
      <c r="O89" s="86"/>
      <c r="P89" s="86"/>
      <c r="Q89" s="86"/>
      <c r="R89" s="96"/>
      <c r="S89" s="96"/>
      <c r="T89" s="96"/>
      <c r="U89" s="96"/>
      <c r="V89" s="96"/>
      <c r="W89" s="96"/>
      <c r="X89" s="96"/>
      <c r="Y89" s="96"/>
      <c r="Z89" s="96"/>
      <c r="AA89" s="96"/>
    </row>
    <row r="90" spans="1:27" s="84" customFormat="1" ht="24" customHeight="1" x14ac:dyDescent="0.2">
      <c r="A90" s="272" t="s">
        <v>359</v>
      </c>
      <c r="B90" s="97" t="s">
        <v>47</v>
      </c>
      <c r="C90" s="94">
        <f>ROUND(C91/C92,3)</f>
        <v>0</v>
      </c>
      <c r="D90" s="94">
        <f>ROUND(D91/D92,3)</f>
        <v>0</v>
      </c>
      <c r="E90" s="94">
        <f>ROUND(E91/E92,3)</f>
        <v>0</v>
      </c>
      <c r="F90" s="94">
        <f>ROUND(F91/F92,3)</f>
        <v>0</v>
      </c>
      <c r="G90" s="94">
        <f>ROUND(G91/G92,3)</f>
        <v>0</v>
      </c>
      <c r="H90" s="297"/>
      <c r="I90" s="435">
        <f>L90</f>
        <v>0</v>
      </c>
      <c r="J90" s="435">
        <f>AVERAGE(G90,L90:Q90)</f>
        <v>-3.050859981584003E-4</v>
      </c>
      <c r="K90" s="1310" t="s">
        <v>1046</v>
      </c>
      <c r="L90" s="94">
        <f>L91/L92</f>
        <v>0</v>
      </c>
      <c r="M90" s="94">
        <f>M91/M92</f>
        <v>-1.8305159889504018E-3</v>
      </c>
      <c r="N90" s="94">
        <f>N91/N92</f>
        <v>0</v>
      </c>
      <c r="O90" s="94">
        <f>O91/O92</f>
        <v>0</v>
      </c>
      <c r="P90" s="94">
        <f>P91/P92</f>
        <v>0</v>
      </c>
      <c r="Q90" s="94"/>
      <c r="R90" s="313"/>
      <c r="S90" s="313"/>
      <c r="T90" s="313"/>
      <c r="U90" s="313"/>
      <c r="V90" s="313"/>
      <c r="W90" s="313"/>
      <c r="X90" s="313"/>
      <c r="Y90" s="313"/>
      <c r="Z90" s="313"/>
      <c r="AA90" s="313"/>
    </row>
    <row r="91" spans="1:27" s="32" customFormat="1" ht="16.5" customHeight="1" x14ac:dyDescent="0.2">
      <c r="A91" s="32" t="s">
        <v>374</v>
      </c>
      <c r="B91" s="92" t="s">
        <v>47</v>
      </c>
      <c r="C91" s="32">
        <f>'IS Analysis Adjustments'!AZ12</f>
        <v>0</v>
      </c>
      <c r="D91" s="32">
        <f>'IS Analysis Adjustments'!BA12</f>
        <v>0</v>
      </c>
      <c r="E91" s="32">
        <f>'IS Analysis Adjustments'!BB12</f>
        <v>0</v>
      </c>
      <c r="F91" s="32">
        <f>'IS Analysis Adjustments'!BC12</f>
        <v>0</v>
      </c>
      <c r="G91" s="32">
        <f>'IS Analysis Adjustments'!BD12</f>
        <v>0</v>
      </c>
      <c r="H91" s="193"/>
      <c r="I91" s="1296"/>
      <c r="J91" s="1296"/>
      <c r="K91" s="1311"/>
      <c r="L91" s="231">
        <v>0</v>
      </c>
      <c r="M91" s="231">
        <v>-6441</v>
      </c>
      <c r="N91" s="231">
        <v>0</v>
      </c>
      <c r="O91" s="231">
        <v>0</v>
      </c>
      <c r="P91" s="231">
        <v>0</v>
      </c>
      <c r="Q91" s="231"/>
      <c r="R91" s="96"/>
      <c r="S91" s="96"/>
      <c r="T91" s="96"/>
      <c r="U91" s="96"/>
      <c r="V91" s="96"/>
      <c r="W91" s="96"/>
      <c r="X91" s="96"/>
      <c r="Y91" s="96"/>
      <c r="Z91" s="96"/>
      <c r="AA91" s="96"/>
    </row>
    <row r="92" spans="1:27" s="32" customFormat="1" ht="16.5" customHeight="1" x14ac:dyDescent="0.2">
      <c r="A92" s="31" t="s">
        <v>329</v>
      </c>
      <c r="B92" s="92" t="s">
        <v>47</v>
      </c>
      <c r="C92" s="32">
        <f>'IS Analysis Adjustments'!AZ4</f>
        <v>10877</v>
      </c>
      <c r="D92" s="32">
        <f>'IS Analysis Adjustments'!BA4</f>
        <v>12148</v>
      </c>
      <c r="E92" s="32">
        <f>'IS Analysis Adjustments'!BB4</f>
        <v>12540</v>
      </c>
      <c r="F92" s="32">
        <f>'IS Analysis Adjustments'!BC4</f>
        <v>13506</v>
      </c>
      <c r="G92" s="32">
        <f>'IS Analysis Adjustments'!BD4</f>
        <v>14373</v>
      </c>
      <c r="H92" s="193"/>
      <c r="I92" s="1298"/>
      <c r="J92" s="1298"/>
      <c r="K92" s="1312"/>
      <c r="L92" s="32">
        <f t="shared" ref="L92:Q92" si="8">L23</f>
        <v>15797</v>
      </c>
      <c r="M92" s="32">
        <f t="shared" si="8"/>
        <v>3518680</v>
      </c>
      <c r="N92" s="32">
        <f t="shared" si="8"/>
        <v>6595626</v>
      </c>
      <c r="O92" s="32">
        <f t="shared" si="8"/>
        <v>27079</v>
      </c>
      <c r="P92" s="32">
        <f t="shared" si="8"/>
        <v>12625</v>
      </c>
      <c r="Q92" s="32">
        <f t="shared" si="8"/>
        <v>0</v>
      </c>
      <c r="R92" s="96"/>
      <c r="S92" s="96"/>
      <c r="T92" s="96"/>
      <c r="U92" s="96"/>
      <c r="V92" s="96"/>
      <c r="W92" s="96"/>
      <c r="X92" s="96"/>
      <c r="Y92" s="96"/>
      <c r="Z92" s="96"/>
      <c r="AA92" s="96"/>
    </row>
    <row r="93" spans="1:27" s="84" customFormat="1" ht="24" customHeight="1" x14ac:dyDescent="0.2">
      <c r="A93" s="84" t="s">
        <v>402</v>
      </c>
      <c r="B93" s="97" t="s">
        <v>47</v>
      </c>
      <c r="C93" s="94">
        <f>ROUND(C94/C95,3)</f>
        <v>0.11700000000000001</v>
      </c>
      <c r="D93" s="94">
        <f>ROUND(D94/D95,3)</f>
        <v>0.108</v>
      </c>
      <c r="E93" s="94">
        <f>ROUND(E94/E95,3)</f>
        <v>0.107</v>
      </c>
      <c r="F93" s="94">
        <f>ROUND(F94/F95,3)</f>
        <v>9.5000000000000001E-2</v>
      </c>
      <c r="G93" s="94">
        <f>ROUND(G94/G95,3)</f>
        <v>6.9000000000000006E-2</v>
      </c>
      <c r="H93" s="297"/>
      <c r="I93" s="102">
        <f>'Industry Firm Ratios'!R8</f>
        <v>0.127</v>
      </c>
      <c r="J93" s="102">
        <f>'Industry Firm Ratios'!R6</f>
        <v>6.7000000000000004E-2</v>
      </c>
      <c r="K93" s="1310" t="s">
        <v>1046</v>
      </c>
      <c r="L93" s="881" t="s">
        <v>770</v>
      </c>
      <c r="M93" s="456"/>
      <c r="N93" s="456"/>
      <c r="O93" s="456"/>
      <c r="P93" s="456"/>
      <c r="Q93" s="456"/>
      <c r="R93" s="313"/>
      <c r="S93" s="313"/>
      <c r="T93" s="313"/>
      <c r="U93" s="313"/>
      <c r="V93" s="313"/>
      <c r="W93" s="313"/>
      <c r="X93" s="313"/>
      <c r="Y93" s="313"/>
      <c r="Z93" s="313"/>
      <c r="AA93" s="313"/>
    </row>
    <row r="94" spans="1:27" s="32" customFormat="1" ht="16.5" customHeight="1" x14ac:dyDescent="0.2">
      <c r="A94" s="32" t="s">
        <v>53</v>
      </c>
      <c r="B94" s="92" t="s">
        <v>47</v>
      </c>
      <c r="C94" s="32">
        <f>'IS Analysis Adjustments'!AZ14</f>
        <v>1277</v>
      </c>
      <c r="D94" s="32">
        <f>'IS Analysis Adjustments'!BA14</f>
        <v>1314</v>
      </c>
      <c r="E94" s="32">
        <f>'IS Analysis Adjustments'!BB14</f>
        <v>1343</v>
      </c>
      <c r="F94" s="32">
        <f>'IS Analysis Adjustments'!BC14</f>
        <v>1282</v>
      </c>
      <c r="G94" s="32">
        <f>'IS Analysis Adjustments'!BD14</f>
        <v>990</v>
      </c>
      <c r="H94" s="193"/>
      <c r="I94" s="1294"/>
      <c r="J94" s="1294"/>
      <c r="K94" s="1311"/>
      <c r="L94" s="86"/>
      <c r="M94" s="86"/>
      <c r="N94" s="86"/>
      <c r="O94" s="86"/>
      <c r="P94" s="86"/>
      <c r="Q94" s="86"/>
      <c r="R94" s="96"/>
      <c r="S94" s="96"/>
      <c r="T94" s="96"/>
      <c r="U94" s="96"/>
      <c r="V94" s="96"/>
      <c r="W94" s="96"/>
      <c r="X94" s="96"/>
      <c r="Y94" s="96"/>
      <c r="Z94" s="96"/>
      <c r="AA94" s="96"/>
    </row>
    <row r="95" spans="1:27" s="32" customFormat="1" ht="16.5" customHeight="1" x14ac:dyDescent="0.2">
      <c r="A95" s="31" t="s">
        <v>329</v>
      </c>
      <c r="B95" s="92" t="s">
        <v>47</v>
      </c>
      <c r="C95" s="32">
        <f>'IS Analysis Adjustments'!AZ4</f>
        <v>10877</v>
      </c>
      <c r="D95" s="32">
        <f>'IS Analysis Adjustments'!BA4</f>
        <v>12148</v>
      </c>
      <c r="E95" s="32">
        <f>'IS Analysis Adjustments'!BB4</f>
        <v>12540</v>
      </c>
      <c r="F95" s="32">
        <f>'IS Analysis Adjustments'!BC4</f>
        <v>13506</v>
      </c>
      <c r="G95" s="32">
        <f>'IS Analysis Adjustments'!BD4</f>
        <v>14373</v>
      </c>
      <c r="H95" s="193"/>
      <c r="I95" s="1295"/>
      <c r="J95" s="1295"/>
      <c r="K95" s="1312"/>
      <c r="L95" s="86"/>
      <c r="M95" s="86"/>
      <c r="N95" s="86"/>
      <c r="O95" s="86"/>
      <c r="P95" s="86"/>
      <c r="Q95" s="86"/>
      <c r="R95" s="96"/>
      <c r="S95" s="96"/>
      <c r="T95" s="96"/>
      <c r="U95" s="96"/>
      <c r="V95" s="96"/>
      <c r="W95" s="96"/>
      <c r="X95" s="96"/>
      <c r="Y95" s="96"/>
      <c r="Z95" s="96"/>
      <c r="AA95" s="96"/>
    </row>
    <row r="96" spans="1:27" s="84" customFormat="1" ht="24" customHeight="1" x14ac:dyDescent="0.2">
      <c r="A96" s="272" t="s">
        <v>403</v>
      </c>
      <c r="B96" s="97" t="s">
        <v>47</v>
      </c>
      <c r="C96" s="94">
        <f>ROUND(C97/C98,3)</f>
        <v>0.10100000000000001</v>
      </c>
      <c r="D96" s="94">
        <f>ROUND(D97/D98,3)</f>
        <v>9.0999999999999998E-2</v>
      </c>
      <c r="E96" s="94">
        <f>ROUND(E97/E98,3)</f>
        <v>8.7999999999999995E-2</v>
      </c>
      <c r="F96" s="94">
        <f>ROUND(F97/F98,3)</f>
        <v>7.8E-2</v>
      </c>
      <c r="G96" s="94">
        <f>ROUND(G97/G98,3)</f>
        <v>5.1999999999999998E-2</v>
      </c>
      <c r="H96" s="297"/>
      <c r="I96" s="102">
        <f>'Industry Firm Ratios'!S8</f>
        <v>9.2999999999999999E-2</v>
      </c>
      <c r="J96" s="102">
        <f>'Industry Firm Ratios'!S6</f>
        <v>4.2999999999999997E-2</v>
      </c>
      <c r="K96" s="1310" t="s">
        <v>1046</v>
      </c>
      <c r="L96" s="881" t="s">
        <v>770</v>
      </c>
      <c r="M96" s="456"/>
      <c r="N96" s="456"/>
      <c r="O96" s="456"/>
      <c r="P96" s="456"/>
      <c r="Q96" s="456"/>
      <c r="R96" s="313"/>
      <c r="S96" s="313"/>
      <c r="T96" s="313"/>
      <c r="U96" s="313"/>
      <c r="V96" s="313"/>
      <c r="W96" s="313"/>
      <c r="X96" s="313"/>
      <c r="Y96" s="313"/>
      <c r="Z96" s="313"/>
      <c r="AA96" s="313"/>
    </row>
    <row r="97" spans="1:27" s="32" customFormat="1" ht="16.5" customHeight="1" x14ac:dyDescent="0.2">
      <c r="A97" s="32" t="s">
        <v>335</v>
      </c>
      <c r="B97" s="92" t="s">
        <v>47</v>
      </c>
      <c r="C97" s="32">
        <f>'IS Analysis Adjustments'!AZ26</f>
        <v>1097</v>
      </c>
      <c r="D97" s="32">
        <f>'IS Analysis Adjustments'!BA26</f>
        <v>1105</v>
      </c>
      <c r="E97" s="32">
        <f>'IS Analysis Adjustments'!BB26</f>
        <v>1105</v>
      </c>
      <c r="F97" s="32">
        <f>'IS Analysis Adjustments'!BC26</f>
        <v>1050</v>
      </c>
      <c r="G97" s="32">
        <f>'IS Analysis Adjustments'!BD26</f>
        <v>750</v>
      </c>
      <c r="H97" s="193"/>
      <c r="I97" s="1294"/>
      <c r="J97" s="1294"/>
      <c r="K97" s="1311"/>
      <c r="L97" s="86"/>
      <c r="M97" s="86"/>
      <c r="N97" s="86"/>
      <c r="O97" s="86"/>
      <c r="P97" s="86"/>
      <c r="Q97" s="86"/>
      <c r="R97" s="96"/>
      <c r="S97" s="96"/>
      <c r="T97" s="96"/>
      <c r="U97" s="96"/>
      <c r="V97" s="96"/>
      <c r="W97" s="96"/>
      <c r="X97" s="96"/>
      <c r="Y97" s="96"/>
      <c r="Z97" s="96"/>
      <c r="AA97" s="96"/>
    </row>
    <row r="98" spans="1:27" s="32" customFormat="1" ht="16.5" customHeight="1" x14ac:dyDescent="0.2">
      <c r="A98" s="31" t="s">
        <v>329</v>
      </c>
      <c r="B98" s="92" t="s">
        <v>47</v>
      </c>
      <c r="C98" s="32">
        <f>'IS Analysis Adjustments'!AZ4</f>
        <v>10877</v>
      </c>
      <c r="D98" s="32">
        <f>'IS Analysis Adjustments'!BA4</f>
        <v>12148</v>
      </c>
      <c r="E98" s="32">
        <f>'IS Analysis Adjustments'!BB4</f>
        <v>12540</v>
      </c>
      <c r="F98" s="32">
        <f>'IS Analysis Adjustments'!BC4</f>
        <v>13506</v>
      </c>
      <c r="G98" s="32">
        <f>'IS Analysis Adjustments'!BD4</f>
        <v>14373</v>
      </c>
      <c r="H98" s="193"/>
      <c r="I98" s="1295"/>
      <c r="J98" s="1295"/>
      <c r="K98" s="1312"/>
      <c r="L98" s="86"/>
      <c r="M98" s="86"/>
      <c r="N98" s="86"/>
      <c r="O98" s="86"/>
      <c r="P98" s="86"/>
      <c r="Q98" s="86"/>
      <c r="R98" s="96"/>
      <c r="S98" s="96"/>
      <c r="T98" s="96"/>
      <c r="U98" s="96"/>
      <c r="V98" s="96"/>
      <c r="W98" s="96"/>
      <c r="X98" s="96"/>
      <c r="Y98" s="96"/>
      <c r="Z98" s="96"/>
      <c r="AA98" s="96"/>
    </row>
    <row r="99" spans="1:27" s="314" customFormat="1" ht="24" customHeight="1" x14ac:dyDescent="0.2">
      <c r="A99" s="84" t="s">
        <v>404</v>
      </c>
      <c r="B99" s="97" t="s">
        <v>47</v>
      </c>
      <c r="C99" s="94">
        <f>ROUND(C100/C101,3)</f>
        <v>6.2E-2</v>
      </c>
      <c r="D99" s="94">
        <f>ROUND(D100/D101,3)</f>
        <v>5.6000000000000001E-2</v>
      </c>
      <c r="E99" s="94">
        <f>ROUND(E100/E101,3)</f>
        <v>5.3999999999999999E-2</v>
      </c>
      <c r="F99" s="94">
        <f>ROUND(F100/F101,3)</f>
        <v>4.7E-2</v>
      </c>
      <c r="G99" s="94">
        <f>ROUND(G100/G101,3)</f>
        <v>3.2000000000000001E-2</v>
      </c>
      <c r="H99" s="297"/>
      <c r="I99" s="102">
        <f>'Industry Firm Ratios'!T8</f>
        <v>7.6799999999999993E-2</v>
      </c>
      <c r="J99" s="102">
        <f>'Industry Firm Ratios'!T6</f>
        <v>3.1E-2</v>
      </c>
      <c r="K99" s="1310" t="s">
        <v>1046</v>
      </c>
      <c r="L99" s="881" t="s">
        <v>770</v>
      </c>
      <c r="M99" s="456"/>
      <c r="N99" s="456"/>
      <c r="O99" s="456"/>
      <c r="P99" s="456"/>
      <c r="Q99" s="456"/>
      <c r="R99" s="313"/>
      <c r="S99" s="313"/>
      <c r="T99" s="313"/>
      <c r="U99" s="313"/>
      <c r="V99" s="313"/>
      <c r="W99" s="313"/>
      <c r="X99" s="313"/>
      <c r="Y99" s="313"/>
      <c r="Z99" s="313"/>
      <c r="AA99" s="313"/>
    </row>
    <row r="100" spans="1:27" ht="16.5" customHeight="1" x14ac:dyDescent="0.2">
      <c r="A100" s="31" t="s">
        <v>338</v>
      </c>
      <c r="B100" s="92" t="s">
        <v>47</v>
      </c>
      <c r="C100" s="32">
        <f>'IS Analysis Adjustments'!AZ28</f>
        <v>670</v>
      </c>
      <c r="D100" s="32">
        <f>'IS Analysis Adjustments'!BA28</f>
        <v>686</v>
      </c>
      <c r="E100" s="32">
        <f>'IS Analysis Adjustments'!BB28</f>
        <v>682</v>
      </c>
      <c r="F100" s="32">
        <f>'IS Analysis Adjustments'!BC28</f>
        <v>638</v>
      </c>
      <c r="G100" s="32">
        <f>'IS Analysis Adjustments'!BD28</f>
        <v>461</v>
      </c>
      <c r="I100" s="1294"/>
      <c r="J100" s="1294"/>
      <c r="K100" s="1311"/>
      <c r="L100" s="86"/>
      <c r="M100" s="86"/>
      <c r="N100" s="86"/>
      <c r="O100" s="86"/>
      <c r="P100" s="86"/>
      <c r="Q100" s="86"/>
    </row>
    <row r="101" spans="1:27" s="13" customFormat="1" ht="16.5" customHeight="1" x14ac:dyDescent="0.2">
      <c r="A101" s="39" t="s">
        <v>329</v>
      </c>
      <c r="B101" s="277" t="s">
        <v>47</v>
      </c>
      <c r="C101" s="75">
        <f>'IS Analysis Adjustments'!AZ4</f>
        <v>10877</v>
      </c>
      <c r="D101" s="75">
        <f>'IS Analysis Adjustments'!BA4</f>
        <v>12148</v>
      </c>
      <c r="E101" s="75">
        <f>'IS Analysis Adjustments'!BB4</f>
        <v>12540</v>
      </c>
      <c r="F101" s="75">
        <f>'IS Analysis Adjustments'!BC4</f>
        <v>13506</v>
      </c>
      <c r="G101" s="75">
        <f>'IS Analysis Adjustments'!BD4</f>
        <v>14373</v>
      </c>
      <c r="H101" s="193"/>
      <c r="I101" s="1295"/>
      <c r="J101" s="1295"/>
      <c r="K101" s="1312"/>
      <c r="L101" s="446"/>
      <c r="M101" s="446"/>
      <c r="N101" s="446"/>
      <c r="O101" s="446"/>
      <c r="P101" s="446"/>
      <c r="Q101" s="446"/>
      <c r="R101" s="88"/>
      <c r="S101" s="88"/>
      <c r="T101" s="88"/>
      <c r="U101" s="88"/>
      <c r="V101" s="88"/>
      <c r="W101" s="88"/>
      <c r="X101" s="88"/>
      <c r="Y101" s="88"/>
      <c r="Z101" s="88"/>
      <c r="AA101" s="88"/>
    </row>
    <row r="102" spans="1:27" s="677" customFormat="1" ht="9" customHeight="1" x14ac:dyDescent="0.2">
      <c r="B102" s="678"/>
      <c r="C102" s="678"/>
      <c r="D102" s="678"/>
      <c r="E102" s="678"/>
      <c r="F102" s="678"/>
      <c r="G102" s="678"/>
      <c r="H102" s="678"/>
      <c r="I102" s="678"/>
      <c r="J102" s="678"/>
      <c r="K102" s="678"/>
      <c r="L102" s="678"/>
      <c r="M102" s="678"/>
      <c r="N102" s="678"/>
      <c r="O102" s="678"/>
      <c r="P102" s="678"/>
      <c r="Q102" s="678"/>
    </row>
    <row r="103" spans="1:27" s="7" customFormat="1" ht="18" customHeight="1" x14ac:dyDescent="0.2">
      <c r="A103" s="679" t="s">
        <v>55</v>
      </c>
      <c r="B103" s="1317" t="str">
        <f>B9</f>
        <v>Fiscal year ended (after analysis adjustments)</v>
      </c>
      <c r="C103" s="1318"/>
      <c r="D103" s="1318"/>
      <c r="E103" s="1318"/>
      <c r="F103" s="1318"/>
      <c r="G103" s="1318"/>
      <c r="H103" s="293"/>
      <c r="I103" s="1304" t="s">
        <v>1079</v>
      </c>
      <c r="J103" s="1304" t="s">
        <v>140</v>
      </c>
      <c r="K103" s="1284" t="s">
        <v>376</v>
      </c>
      <c r="L103" s="1308" t="s">
        <v>284</v>
      </c>
      <c r="M103" s="1308" t="str">
        <f>M9</f>
        <v>Abercrombie &amp; Fitch, Inc.</v>
      </c>
      <c r="N103" s="1308" t="str">
        <f>N9</f>
        <v>Dillard's, Inc.</v>
      </c>
      <c r="O103" s="1308" t="str">
        <f>O9</f>
        <v>Macy's Inc.</v>
      </c>
      <c r="P103" s="1308" t="str">
        <f>P9</f>
        <v>Penney (J.C.) Co.,Inc. (Holding Co.)</v>
      </c>
      <c r="Q103" s="1308" t="str">
        <f>Q9</f>
        <v>N/A</v>
      </c>
      <c r="R103" s="82"/>
      <c r="S103" s="82"/>
      <c r="T103" s="82"/>
      <c r="U103" s="82"/>
      <c r="V103" s="82"/>
      <c r="W103" s="82"/>
      <c r="X103" s="82"/>
      <c r="Y103" s="82"/>
      <c r="Z103" s="82"/>
      <c r="AA103" s="82"/>
    </row>
    <row r="104" spans="1:27" s="41" customFormat="1" ht="16.5" customHeight="1" x14ac:dyDescent="0.35">
      <c r="A104" s="246" t="s">
        <v>139</v>
      </c>
      <c r="B104" s="103">
        <f>'Common-size FS'!B9</f>
        <v>2010</v>
      </c>
      <c r="C104" s="103">
        <f>B104+1</f>
        <v>2011</v>
      </c>
      <c r="D104" s="103">
        <f>C104+1</f>
        <v>2012</v>
      </c>
      <c r="E104" s="103">
        <f>D104+1</f>
        <v>2013</v>
      </c>
      <c r="F104" s="103">
        <f>E104+1</f>
        <v>2014</v>
      </c>
      <c r="G104" s="103">
        <f>F104+1</f>
        <v>2015</v>
      </c>
      <c r="H104" s="294"/>
      <c r="I104" s="1305"/>
      <c r="J104" s="1305"/>
      <c r="K104" s="1285"/>
      <c r="L104" s="1309"/>
      <c r="M104" s="1319"/>
      <c r="N104" s="1319"/>
      <c r="O104" s="1319"/>
      <c r="P104" s="1319"/>
      <c r="Q104" s="1319"/>
      <c r="R104" s="193"/>
      <c r="S104" s="193"/>
      <c r="T104" s="193"/>
      <c r="U104" s="193"/>
      <c r="V104" s="193"/>
      <c r="W104" s="193"/>
      <c r="X104" s="193"/>
      <c r="Y104" s="193"/>
      <c r="Z104" s="193"/>
      <c r="AA104" s="193"/>
    </row>
    <row r="105" spans="1:27" s="315" customFormat="1" ht="24" customHeight="1" x14ac:dyDescent="0.2">
      <c r="A105" s="283" t="s">
        <v>407</v>
      </c>
      <c r="B105" s="284" t="s">
        <v>47</v>
      </c>
      <c r="C105" s="436">
        <f>IF(C108&lt;1,0,ROUND(C106/C108,1))</f>
        <v>5.4</v>
      </c>
      <c r="D105" s="436">
        <f t="shared" ref="D105:G105" si="9">IF(D108&lt;1,0,ROUND(D106/D108,1))</f>
        <v>5.8</v>
      </c>
      <c r="E105" s="436">
        <f t="shared" si="9"/>
        <v>5.8</v>
      </c>
      <c r="F105" s="436">
        <f t="shared" si="9"/>
        <v>6</v>
      </c>
      <c r="G105" s="436">
        <f t="shared" si="9"/>
        <v>11.5</v>
      </c>
      <c r="H105" s="437"/>
      <c r="I105" s="434">
        <f>360/I20</f>
        <v>56.25</v>
      </c>
      <c r="J105" s="434">
        <f>360/J20</f>
        <v>41.064638783269956</v>
      </c>
      <c r="K105" s="1313" t="s">
        <v>1091</v>
      </c>
      <c r="L105" s="444"/>
      <c r="M105" s="444"/>
      <c r="N105" s="444"/>
      <c r="O105" s="444"/>
      <c r="P105" s="444"/>
      <c r="Q105" s="444"/>
      <c r="R105" s="153"/>
      <c r="S105" s="153"/>
      <c r="T105" s="153"/>
      <c r="U105" s="153"/>
      <c r="V105" s="153"/>
      <c r="W105" s="153"/>
      <c r="X105" s="153"/>
      <c r="Y105" s="153"/>
      <c r="Z105" s="153"/>
      <c r="AA105" s="153"/>
    </row>
    <row r="106" spans="1:27" ht="16.5" customHeight="1" x14ac:dyDescent="0.2">
      <c r="A106" s="31" t="s">
        <v>329</v>
      </c>
      <c r="B106" s="92" t="s">
        <v>47</v>
      </c>
      <c r="C106" s="32">
        <f>'IS Analysis Adjustments'!AZ4</f>
        <v>10877</v>
      </c>
      <c r="D106" s="32">
        <f>'IS Analysis Adjustments'!BA4</f>
        <v>12148</v>
      </c>
      <c r="E106" s="32">
        <f>'IS Analysis Adjustments'!BB4</f>
        <v>12540</v>
      </c>
      <c r="F106" s="32">
        <f>'IS Analysis Adjustments'!BC4</f>
        <v>13506</v>
      </c>
      <c r="G106" s="32">
        <f>'IS Analysis Adjustments'!BD4</f>
        <v>14373</v>
      </c>
      <c r="I106" s="1296"/>
      <c r="J106" s="1296"/>
      <c r="K106" s="1314"/>
      <c r="L106" s="86"/>
      <c r="M106" s="86"/>
      <c r="N106" s="86"/>
      <c r="O106" s="86"/>
      <c r="P106" s="86"/>
      <c r="Q106" s="86"/>
    </row>
    <row r="107" spans="1:27" ht="16.5" customHeight="1" x14ac:dyDescent="0.2">
      <c r="A107" s="31" t="s">
        <v>123</v>
      </c>
      <c r="B107" s="32">
        <f>'Common-size FS'!B16</f>
        <v>2026</v>
      </c>
      <c r="C107" s="32">
        <f>'BS Analysis Adjustments'!AZ10</f>
        <v>2033</v>
      </c>
      <c r="D107" s="32">
        <f>'BS Analysis Adjustments'!BA10</f>
        <v>2129</v>
      </c>
      <c r="E107" s="32">
        <f>'BS Analysis Adjustments'!BB10</f>
        <v>2177</v>
      </c>
      <c r="F107" s="32">
        <f>'BS Analysis Adjustments'!BC10</f>
        <v>2306</v>
      </c>
      <c r="G107" s="32">
        <f>'BS Analysis Adjustments'!BD10</f>
        <v>196</v>
      </c>
      <c r="I107" s="1297"/>
      <c r="J107" s="1297"/>
      <c r="K107" s="1314"/>
      <c r="L107" s="86"/>
      <c r="M107" s="86"/>
      <c r="N107" s="86"/>
      <c r="O107" s="86"/>
      <c r="P107" s="86"/>
      <c r="Q107" s="86"/>
    </row>
    <row r="108" spans="1:27" ht="16.5" customHeight="1" x14ac:dyDescent="0.2">
      <c r="A108" s="31" t="s">
        <v>144</v>
      </c>
      <c r="B108" s="92" t="s">
        <v>47</v>
      </c>
      <c r="C108" s="93">
        <f>ROUND(AVERAGE(B107:C107),0)</f>
        <v>2030</v>
      </c>
      <c r="D108" s="93">
        <f>ROUND(AVERAGE(C107:D107),0)</f>
        <v>2081</v>
      </c>
      <c r="E108" s="93">
        <f>ROUND(AVERAGE(D107:E107),0)</f>
        <v>2153</v>
      </c>
      <c r="F108" s="93">
        <f>ROUND(AVERAGE(E107:F107),0)</f>
        <v>2242</v>
      </c>
      <c r="G108" s="93">
        <f>ROUND(AVERAGE(F107:G107),0)</f>
        <v>1251</v>
      </c>
      <c r="I108" s="1298"/>
      <c r="J108" s="1298"/>
      <c r="K108" s="1315"/>
      <c r="L108" s="448"/>
      <c r="M108" s="448"/>
      <c r="N108" s="448"/>
      <c r="O108" s="448"/>
      <c r="P108" s="448"/>
      <c r="Q108" s="448"/>
    </row>
    <row r="109" spans="1:27" s="314" customFormat="1" ht="24" customHeight="1" x14ac:dyDescent="0.2">
      <c r="A109" s="84" t="s">
        <v>406</v>
      </c>
      <c r="B109" s="97" t="s">
        <v>47</v>
      </c>
      <c r="C109" s="439">
        <f>ROUND(C110/C112,1)</f>
        <v>6.2</v>
      </c>
      <c r="D109" s="439">
        <f>ROUND(D110/D112,1)</f>
        <v>6</v>
      </c>
      <c r="E109" s="439">
        <f>ROUND(E110/E112,1)</f>
        <v>5.4</v>
      </c>
      <c r="F109" s="439">
        <f>ROUND(F110/F112,1)</f>
        <v>5.2</v>
      </c>
      <c r="G109" s="439">
        <f>ROUND(G110/G112,1)</f>
        <v>5.0999999999999996</v>
      </c>
      <c r="H109" s="437"/>
      <c r="I109" s="440">
        <f>'Industry Firm Ratios'!V8</f>
        <v>5.32</v>
      </c>
      <c r="J109" s="440">
        <f>'Industry Firm Ratios'!V6</f>
        <v>3.7</v>
      </c>
      <c r="K109" s="1320" t="s">
        <v>20</v>
      </c>
      <c r="L109" s="881" t="s">
        <v>770</v>
      </c>
      <c r="M109" s="445"/>
      <c r="N109" s="445"/>
      <c r="O109" s="445"/>
      <c r="P109" s="445"/>
      <c r="Q109" s="445"/>
      <c r="R109" s="313"/>
      <c r="S109" s="313"/>
      <c r="T109" s="313"/>
      <c r="U109" s="313"/>
      <c r="V109" s="313"/>
      <c r="W109" s="313"/>
      <c r="X109" s="313"/>
      <c r="Y109" s="313"/>
      <c r="Z109" s="313"/>
      <c r="AA109" s="313"/>
    </row>
    <row r="110" spans="1:27" ht="16.5" customHeight="1" x14ac:dyDescent="0.2">
      <c r="A110" s="31" t="s">
        <v>332</v>
      </c>
      <c r="B110" s="92" t="s">
        <v>47</v>
      </c>
      <c r="C110" s="32">
        <f>'IS Analysis Adjustments'!AZ5</f>
        <v>6633</v>
      </c>
      <c r="D110" s="32">
        <f>'IS Analysis Adjustments'!BA5</f>
        <v>7515</v>
      </c>
      <c r="E110" s="32">
        <f>'IS Analysis Adjustments'!BB5</f>
        <v>7789</v>
      </c>
      <c r="F110" s="32">
        <f>'IS Analysis Adjustments'!BC5</f>
        <v>8490</v>
      </c>
      <c r="G110" s="32">
        <f>'IS Analysis Adjustments'!BD5</f>
        <v>9293</v>
      </c>
      <c r="I110" s="1299"/>
      <c r="J110" s="1299"/>
      <c r="K110" s="1314"/>
      <c r="L110" s="86"/>
      <c r="M110" s="86"/>
      <c r="N110" s="86"/>
      <c r="O110" s="86"/>
      <c r="P110" s="86"/>
      <c r="Q110" s="86"/>
    </row>
    <row r="111" spans="1:27" ht="16.5" customHeight="1" x14ac:dyDescent="0.2">
      <c r="A111" s="31" t="s">
        <v>331</v>
      </c>
      <c r="B111" s="32">
        <f>'Common-size FS'!B17</f>
        <v>977</v>
      </c>
      <c r="C111" s="32">
        <f>'BS Analysis Adjustments'!AZ11</f>
        <v>1148</v>
      </c>
      <c r="D111" s="32">
        <f>'BS Analysis Adjustments'!BA11</f>
        <v>1360</v>
      </c>
      <c r="E111" s="32">
        <f>'BS Analysis Adjustments'!BB11</f>
        <v>1531</v>
      </c>
      <c r="F111" s="32">
        <f>'BS Analysis Adjustments'!BC11</f>
        <v>1733</v>
      </c>
      <c r="G111" s="32">
        <f>'BS Analysis Adjustments'!BD11</f>
        <v>1945</v>
      </c>
      <c r="I111" s="1300"/>
      <c r="J111" s="1300"/>
      <c r="K111" s="1314"/>
      <c r="L111" s="86"/>
      <c r="M111" s="86"/>
      <c r="N111" s="86"/>
      <c r="O111" s="86"/>
      <c r="P111" s="86"/>
      <c r="Q111" s="86"/>
    </row>
    <row r="112" spans="1:27" ht="16.5" customHeight="1" x14ac:dyDescent="0.2">
      <c r="A112" s="31" t="s">
        <v>355</v>
      </c>
      <c r="B112" s="92" t="s">
        <v>47</v>
      </c>
      <c r="C112" s="93">
        <f>ROUND(AVERAGE(B111:C111),0)</f>
        <v>1063</v>
      </c>
      <c r="D112" s="93">
        <f>ROUND(AVERAGE(C111:D111),0)</f>
        <v>1254</v>
      </c>
      <c r="E112" s="93">
        <f>ROUND(AVERAGE(D111:E111),0)</f>
        <v>1446</v>
      </c>
      <c r="F112" s="93">
        <f>ROUND(AVERAGE(E111:F111),0)</f>
        <v>1632</v>
      </c>
      <c r="G112" s="93">
        <f>ROUND(AVERAGE(F111:G111),0)</f>
        <v>1839</v>
      </c>
      <c r="I112" s="1301"/>
      <c r="J112" s="1301"/>
      <c r="K112" s="1315"/>
      <c r="L112" s="448"/>
      <c r="M112" s="448"/>
      <c r="N112" s="448"/>
      <c r="O112" s="448"/>
      <c r="P112" s="448"/>
      <c r="Q112" s="448"/>
    </row>
    <row r="113" spans="1:27" s="314" customFormat="1" ht="24" customHeight="1" x14ac:dyDescent="0.2">
      <c r="A113" s="84" t="s">
        <v>405</v>
      </c>
      <c r="B113" s="97" t="s">
        <v>47</v>
      </c>
      <c r="C113" s="439">
        <f>ROUND(C114/C116,1)</f>
        <v>4.8</v>
      </c>
      <c r="D113" s="439">
        <f>ROUND(D114/D116,1)</f>
        <v>3.8</v>
      </c>
      <c r="E113" s="439">
        <f>ROUND(E114/E116,1)</f>
        <v>3.6</v>
      </c>
      <c r="F113" s="439">
        <f>ROUND(F114/F116,1)</f>
        <v>3.5</v>
      </c>
      <c r="G113" s="439">
        <f>ROUND(G114/G116,1)</f>
        <v>3.6</v>
      </c>
      <c r="H113" s="437"/>
      <c r="I113" s="434">
        <f>360/I30</f>
        <v>6.3870214752567698</v>
      </c>
      <c r="J113" s="434">
        <f>360/J30</f>
        <v>5.6402112383580958</v>
      </c>
      <c r="K113" s="1313"/>
      <c r="L113" s="444"/>
      <c r="M113" s="444"/>
      <c r="N113" s="444"/>
      <c r="O113" s="444"/>
      <c r="P113" s="444"/>
      <c r="Q113" s="444"/>
      <c r="R113" s="313"/>
      <c r="S113" s="313"/>
      <c r="T113" s="313"/>
      <c r="U113" s="313"/>
      <c r="V113" s="313"/>
      <c r="W113" s="313"/>
      <c r="X113" s="313"/>
      <c r="Y113" s="313"/>
      <c r="Z113" s="313"/>
      <c r="AA113" s="313"/>
    </row>
    <row r="114" spans="1:27" ht="16.5" customHeight="1" x14ac:dyDescent="0.2">
      <c r="A114" s="31" t="s">
        <v>264</v>
      </c>
      <c r="B114" s="92" t="s">
        <v>47</v>
      </c>
      <c r="C114" s="32">
        <f>C39</f>
        <v>9155</v>
      </c>
      <c r="D114" s="32">
        <f>D39</f>
        <v>10328</v>
      </c>
      <c r="E114" s="32">
        <f>E39</f>
        <v>10628</v>
      </c>
      <c r="F114" s="32">
        <f>F39</f>
        <v>11574</v>
      </c>
      <c r="G114" s="32">
        <f>G39</f>
        <v>12641</v>
      </c>
      <c r="I114" s="1299"/>
      <c r="J114" s="1299"/>
      <c r="K114" s="1314"/>
      <c r="L114" s="86"/>
      <c r="M114" s="86"/>
      <c r="N114" s="86"/>
      <c r="O114" s="86"/>
      <c r="P114" s="86"/>
      <c r="Q114" s="86"/>
    </row>
    <row r="115" spans="1:27" ht="16.5" customHeight="1" x14ac:dyDescent="0.2">
      <c r="A115" s="31" t="s">
        <v>261</v>
      </c>
      <c r="B115" s="32">
        <f>'Common-size FS'!B36+'Common-size FS'!B37</f>
        <v>1221</v>
      </c>
      <c r="C115" s="32">
        <f>'BS Analysis Adjustments'!AZ27+'BS Analysis Adjustments'!AZ28</f>
        <v>2578</v>
      </c>
      <c r="D115" s="32">
        <f>'BS Analysis Adjustments'!BA27+'BS Analysis Adjustments'!BA28</f>
        <v>2844</v>
      </c>
      <c r="E115" s="32">
        <f>'BS Analysis Adjustments'!BB27+'BS Analysis Adjustments'!BB28</f>
        <v>3108</v>
      </c>
      <c r="F115" s="32">
        <f>'BS Analysis Adjustments'!BC27+'BS Analysis Adjustments'!BC28</f>
        <v>3553</v>
      </c>
      <c r="G115" s="32">
        <f>'BS Analysis Adjustments'!BD27+'BS Analysis Adjustments'!BD28</f>
        <v>3431</v>
      </c>
      <c r="I115" s="1300"/>
      <c r="J115" s="1300"/>
      <c r="K115" s="1314"/>
      <c r="L115" s="86"/>
      <c r="M115" s="86"/>
      <c r="N115" s="86"/>
      <c r="O115" s="86"/>
      <c r="P115" s="86"/>
      <c r="Q115" s="86"/>
    </row>
    <row r="116" spans="1:27" ht="16.5" customHeight="1" x14ac:dyDescent="0.2">
      <c r="A116" s="31" t="s">
        <v>262</v>
      </c>
      <c r="B116" s="92" t="s">
        <v>47</v>
      </c>
      <c r="C116" s="93">
        <f>ROUND(AVERAGE(B115:C115),0)</f>
        <v>1900</v>
      </c>
      <c r="D116" s="93">
        <f>ROUND(AVERAGE(C115:D115),0)</f>
        <v>2711</v>
      </c>
      <c r="E116" s="93">
        <f>ROUND(AVERAGE(D115:E115),0)</f>
        <v>2976</v>
      </c>
      <c r="F116" s="93">
        <f>ROUND(AVERAGE(E115:F115),0)</f>
        <v>3331</v>
      </c>
      <c r="G116" s="93">
        <f>ROUND(AVERAGE(F115:G115),0)</f>
        <v>3492</v>
      </c>
      <c r="I116" s="1301"/>
      <c r="J116" s="1301"/>
      <c r="K116" s="1315"/>
      <c r="L116" s="448"/>
      <c r="M116" s="448"/>
      <c r="N116" s="448"/>
      <c r="O116" s="448"/>
      <c r="P116" s="448"/>
      <c r="Q116" s="448"/>
    </row>
    <row r="117" spans="1:27" s="314" customFormat="1" ht="24" customHeight="1" x14ac:dyDescent="0.2">
      <c r="A117" s="84" t="s">
        <v>408</v>
      </c>
      <c r="B117" s="97" t="s">
        <v>47</v>
      </c>
      <c r="C117" s="439">
        <f>ROUND(C118/C120,1)</f>
        <v>3.9</v>
      </c>
      <c r="D117" s="439">
        <f>ROUND(D118/D120,1)</f>
        <v>3.4</v>
      </c>
      <c r="E117" s="439">
        <f>ROUND(E118/E120,1)</f>
        <v>3</v>
      </c>
      <c r="F117" s="439">
        <f>ROUND(F118/F120,1)</f>
        <v>2.8</v>
      </c>
      <c r="G117" s="439">
        <f>ROUND(G118/G120,1)</f>
        <v>2.6</v>
      </c>
      <c r="H117" s="437"/>
      <c r="I117" s="440">
        <f>'Industry Firm Ratios'!X8</f>
        <v>6</v>
      </c>
      <c r="J117" s="440">
        <f>'Industry Firm Ratios'!X6</f>
        <v>3.8</v>
      </c>
      <c r="K117" s="1313" t="s">
        <v>1091</v>
      </c>
      <c r="L117" s="881" t="s">
        <v>770</v>
      </c>
      <c r="M117" s="445"/>
      <c r="N117" s="445"/>
      <c r="O117" s="445"/>
      <c r="P117" s="445"/>
      <c r="Q117" s="445"/>
      <c r="R117" s="313"/>
      <c r="S117" s="313"/>
      <c r="T117" s="313"/>
      <c r="U117" s="313"/>
      <c r="V117" s="313"/>
      <c r="W117" s="313"/>
      <c r="X117" s="313"/>
      <c r="Y117" s="313"/>
      <c r="Z117" s="313"/>
      <c r="AA117" s="313"/>
    </row>
    <row r="118" spans="1:27" ht="16.5" customHeight="1" x14ac:dyDescent="0.2">
      <c r="A118" s="31" t="s">
        <v>329</v>
      </c>
      <c r="B118" s="92" t="s">
        <v>47</v>
      </c>
      <c r="C118" s="32">
        <f>'IS Analysis Adjustments'!AZ4</f>
        <v>10877</v>
      </c>
      <c r="D118" s="32">
        <f>'IS Analysis Adjustments'!BA4</f>
        <v>12148</v>
      </c>
      <c r="E118" s="32">
        <f>'IS Analysis Adjustments'!BB4</f>
        <v>12540</v>
      </c>
      <c r="F118" s="32">
        <f>'IS Analysis Adjustments'!BC4</f>
        <v>13506</v>
      </c>
      <c r="G118" s="32">
        <f>'IS Analysis Adjustments'!BD4</f>
        <v>14373</v>
      </c>
      <c r="I118" s="1299"/>
      <c r="J118" s="1299"/>
      <c r="K118" s="1314"/>
      <c r="L118" s="86"/>
      <c r="M118" s="86"/>
      <c r="N118" s="86"/>
      <c r="O118" s="86"/>
      <c r="P118" s="86"/>
      <c r="Q118" s="86"/>
    </row>
    <row r="119" spans="1:27" ht="16.5" customHeight="1" x14ac:dyDescent="0.2">
      <c r="A119" s="31" t="s">
        <v>145</v>
      </c>
      <c r="B119" s="32">
        <f>'Common-size FS'!B24</f>
        <v>2318</v>
      </c>
      <c r="C119" s="32">
        <f>'BS Analysis Adjustments'!AZ18</f>
        <v>3320</v>
      </c>
      <c r="D119" s="32">
        <f>'BS Analysis Adjustments'!BA18</f>
        <v>3849</v>
      </c>
      <c r="E119" s="32">
        <f>'BS Analysis Adjustments'!BB18</f>
        <v>4514</v>
      </c>
      <c r="F119" s="32">
        <f>'BS Analysis Adjustments'!BC18</f>
        <v>5166</v>
      </c>
      <c r="G119" s="32">
        <f>'BS Analysis Adjustments'!BD18</f>
        <v>5945</v>
      </c>
      <c r="I119" s="1300"/>
      <c r="J119" s="1300"/>
      <c r="K119" s="1314"/>
      <c r="L119" s="86"/>
      <c r="M119" s="86"/>
      <c r="N119" s="86"/>
      <c r="O119" s="86"/>
      <c r="P119" s="86"/>
      <c r="Q119" s="86"/>
    </row>
    <row r="120" spans="1:27" ht="16.5" customHeight="1" x14ac:dyDescent="0.2">
      <c r="A120" s="31" t="s">
        <v>207</v>
      </c>
      <c r="B120" s="92" t="s">
        <v>47</v>
      </c>
      <c r="C120" s="93">
        <f>ROUND(AVERAGE(B119:C119),0)</f>
        <v>2819</v>
      </c>
      <c r="D120" s="93">
        <f>ROUND(AVERAGE(C119:D119),0)</f>
        <v>3585</v>
      </c>
      <c r="E120" s="93">
        <f>ROUND(AVERAGE(D119:E119),0)</f>
        <v>4182</v>
      </c>
      <c r="F120" s="93">
        <f>ROUND(AVERAGE(E119:F119),0)</f>
        <v>4840</v>
      </c>
      <c r="G120" s="93">
        <f>ROUND(AVERAGE(F119:G119),0)</f>
        <v>5556</v>
      </c>
      <c r="I120" s="1301"/>
      <c r="J120" s="1301"/>
      <c r="K120" s="1315"/>
      <c r="L120" s="448"/>
      <c r="M120" s="448"/>
      <c r="N120" s="448"/>
      <c r="O120" s="448"/>
      <c r="P120" s="448"/>
      <c r="Q120" s="448"/>
    </row>
    <row r="121" spans="1:27" s="314" customFormat="1" ht="24" customHeight="1" x14ac:dyDescent="0.2">
      <c r="A121" s="84" t="s">
        <v>409</v>
      </c>
      <c r="B121" s="97" t="s">
        <v>47</v>
      </c>
      <c r="C121" s="439">
        <f>ROUND(C122/C124,1)</f>
        <v>1.2</v>
      </c>
      <c r="D121" s="439">
        <f>ROUND(D122/D124,1)</f>
        <v>1.1000000000000001</v>
      </c>
      <c r="E121" s="439">
        <f>ROUND(E122/E124,1)</f>
        <v>1.1000000000000001</v>
      </c>
      <c r="F121" s="439">
        <f>ROUND(F122/F124,1)</f>
        <v>1.1000000000000001</v>
      </c>
      <c r="G121" s="439">
        <f>ROUND(G122/G124,1)</f>
        <v>1.1000000000000001</v>
      </c>
      <c r="H121" s="437"/>
      <c r="I121" s="440">
        <f>'Industry Firm Ratios'!Y8</f>
        <v>2.12</v>
      </c>
      <c r="J121" s="440">
        <f>'Industry Firm Ratios'!Y6</f>
        <v>1.52</v>
      </c>
      <c r="K121" s="1313" t="s">
        <v>1091</v>
      </c>
      <c r="L121" s="881" t="s">
        <v>770</v>
      </c>
      <c r="M121" s="445"/>
      <c r="N121" s="445"/>
      <c r="O121" s="445"/>
      <c r="P121" s="445"/>
      <c r="Q121" s="445"/>
      <c r="R121" s="313"/>
      <c r="S121" s="313"/>
      <c r="T121" s="313"/>
      <c r="U121" s="313"/>
      <c r="V121" s="313"/>
      <c r="W121" s="313"/>
      <c r="X121" s="313"/>
      <c r="Y121" s="313"/>
      <c r="Z121" s="313"/>
      <c r="AA121" s="313"/>
    </row>
    <row r="122" spans="1:27" ht="16.5" customHeight="1" x14ac:dyDescent="0.2">
      <c r="A122" s="31" t="s">
        <v>329</v>
      </c>
      <c r="B122" s="92" t="s">
        <v>47</v>
      </c>
      <c r="C122" s="32">
        <f>'IS Analysis Adjustments'!AZ4</f>
        <v>10877</v>
      </c>
      <c r="D122" s="32">
        <f>'IS Analysis Adjustments'!BA4</f>
        <v>12148</v>
      </c>
      <c r="E122" s="32">
        <f>'IS Analysis Adjustments'!BB4</f>
        <v>12540</v>
      </c>
      <c r="F122" s="32">
        <f>'IS Analysis Adjustments'!BC4</f>
        <v>13506</v>
      </c>
      <c r="G122" s="32">
        <f>'IS Analysis Adjustments'!BD4</f>
        <v>14373</v>
      </c>
      <c r="I122" s="1299"/>
      <c r="J122" s="1299"/>
      <c r="K122" s="1314"/>
      <c r="L122" s="86"/>
      <c r="M122" s="86"/>
      <c r="N122" s="86"/>
      <c r="O122" s="86"/>
      <c r="P122" s="86"/>
      <c r="Q122" s="86"/>
    </row>
    <row r="123" spans="1:27" ht="16.5" customHeight="1" x14ac:dyDescent="0.2">
      <c r="A123" s="31" t="s">
        <v>50</v>
      </c>
      <c r="B123" s="32">
        <f>'Common-size FS'!B29</f>
        <v>7462</v>
      </c>
      <c r="C123" s="32">
        <f>'BS Analysis Adjustments'!AZ23</f>
        <v>10785</v>
      </c>
      <c r="D123" s="32">
        <f>'BS Analysis Adjustments'!BA23</f>
        <v>11260</v>
      </c>
      <c r="E123" s="32">
        <f>'BS Analysis Adjustments'!BB23</f>
        <v>12264</v>
      </c>
      <c r="F123" s="32">
        <f>'BS Analysis Adjustments'!BC23</f>
        <v>13163</v>
      </c>
      <c r="G123" s="32">
        <f>'BS Analysis Adjustments'!BD23</f>
        <v>11918</v>
      </c>
      <c r="I123" s="1300"/>
      <c r="J123" s="1300"/>
      <c r="K123" s="1314"/>
      <c r="L123" s="86"/>
      <c r="M123" s="86"/>
      <c r="N123" s="86"/>
      <c r="O123" s="86"/>
      <c r="P123" s="86"/>
      <c r="Q123" s="86"/>
    </row>
    <row r="124" spans="1:27" s="13" customFormat="1" ht="16.5" customHeight="1" x14ac:dyDescent="0.2">
      <c r="A124" s="39" t="s">
        <v>142</v>
      </c>
      <c r="B124" s="277" t="s">
        <v>47</v>
      </c>
      <c r="C124" s="292">
        <f>ROUND(AVERAGE(B123:C123),0)</f>
        <v>9124</v>
      </c>
      <c r="D124" s="292">
        <f>ROUND(AVERAGE(C123:D123),0)</f>
        <v>11023</v>
      </c>
      <c r="E124" s="292">
        <f>ROUND(AVERAGE(D123:E123),0)</f>
        <v>11762</v>
      </c>
      <c r="F124" s="292">
        <f>ROUND(AVERAGE(E123:F123),0)</f>
        <v>12714</v>
      </c>
      <c r="G124" s="292">
        <f>ROUND(AVERAGE(F123:G123),0)</f>
        <v>12541</v>
      </c>
      <c r="H124" s="193"/>
      <c r="I124" s="1301"/>
      <c r="J124" s="1301"/>
      <c r="K124" s="1315"/>
      <c r="L124" s="446"/>
      <c r="M124" s="446"/>
      <c r="N124" s="446"/>
      <c r="O124" s="446"/>
      <c r="P124" s="446"/>
      <c r="Q124" s="446"/>
      <c r="R124" s="88"/>
      <c r="S124" s="88"/>
      <c r="T124" s="88"/>
      <c r="U124" s="88"/>
      <c r="V124" s="88"/>
      <c r="W124" s="88"/>
      <c r="X124" s="88"/>
      <c r="Y124" s="88"/>
      <c r="Z124" s="88"/>
      <c r="AA124" s="88"/>
    </row>
    <row r="125" spans="1:27" s="677" customFormat="1" ht="9" customHeight="1" x14ac:dyDescent="0.2">
      <c r="B125" s="678"/>
      <c r="C125" s="678"/>
      <c r="D125" s="678"/>
      <c r="E125" s="678"/>
      <c r="F125" s="678"/>
      <c r="G125" s="678"/>
      <c r="H125" s="678"/>
      <c r="I125" s="678"/>
      <c r="J125" s="678"/>
      <c r="K125" s="678"/>
      <c r="L125" s="678"/>
      <c r="M125" s="678"/>
      <c r="N125" s="678"/>
      <c r="O125" s="678"/>
      <c r="P125" s="678"/>
      <c r="Q125" s="678"/>
    </row>
    <row r="126" spans="1:27" s="7" customFormat="1" ht="18" customHeight="1" x14ac:dyDescent="0.2">
      <c r="A126" s="679" t="s">
        <v>146</v>
      </c>
      <c r="B126" s="1317" t="str">
        <f>B9</f>
        <v>Fiscal year ended (after analysis adjustments)</v>
      </c>
      <c r="C126" s="1318"/>
      <c r="D126" s="1318"/>
      <c r="E126" s="1318"/>
      <c r="F126" s="1318"/>
      <c r="G126" s="1318"/>
      <c r="H126" s="293"/>
      <c r="I126" s="1304" t="s">
        <v>1079</v>
      </c>
      <c r="J126" s="1304" t="s">
        <v>140</v>
      </c>
      <c r="K126" s="1284" t="s">
        <v>376</v>
      </c>
      <c r="L126" s="1308" t="s">
        <v>284</v>
      </c>
      <c r="M126" s="1308" t="str">
        <f>M9</f>
        <v>Abercrombie &amp; Fitch, Inc.</v>
      </c>
      <c r="N126" s="1308" t="str">
        <f>N9</f>
        <v>Dillard's, Inc.</v>
      </c>
      <c r="O126" s="1308" t="str">
        <f>O9</f>
        <v>Macy's Inc.</v>
      </c>
      <c r="P126" s="1308" t="str">
        <f>P9</f>
        <v>Penney (J.C.) Co.,Inc. (Holding Co.)</v>
      </c>
      <c r="Q126" s="1308" t="str">
        <f>Q9</f>
        <v>N/A</v>
      </c>
      <c r="R126" s="82"/>
      <c r="S126" s="82"/>
      <c r="T126" s="82"/>
      <c r="U126" s="82"/>
      <c r="V126" s="82"/>
      <c r="W126" s="82"/>
      <c r="X126" s="82"/>
      <c r="Y126" s="82"/>
      <c r="Z126" s="82"/>
      <c r="AA126" s="82"/>
    </row>
    <row r="127" spans="1:27" s="41" customFormat="1" ht="16.5" customHeight="1" x14ac:dyDescent="0.35">
      <c r="A127" s="246" t="s">
        <v>139</v>
      </c>
      <c r="B127" s="103">
        <f>'Common-size FS'!B9</f>
        <v>2010</v>
      </c>
      <c r="C127" s="103">
        <f>B127+1</f>
        <v>2011</v>
      </c>
      <c r="D127" s="103">
        <f>C127+1</f>
        <v>2012</v>
      </c>
      <c r="E127" s="103">
        <f>D127+1</f>
        <v>2013</v>
      </c>
      <c r="F127" s="103">
        <f>E127+1</f>
        <v>2014</v>
      </c>
      <c r="G127" s="103">
        <f>F127+1</f>
        <v>2015</v>
      </c>
      <c r="H127" s="294"/>
      <c r="I127" s="1305"/>
      <c r="J127" s="1305"/>
      <c r="K127" s="1285"/>
      <c r="L127" s="1309"/>
      <c r="M127" s="1319"/>
      <c r="N127" s="1319"/>
      <c r="O127" s="1319"/>
      <c r="P127" s="1319"/>
      <c r="Q127" s="1319"/>
      <c r="R127" s="193"/>
      <c r="S127" s="193"/>
      <c r="T127" s="193"/>
      <c r="U127" s="193"/>
      <c r="V127" s="193"/>
      <c r="W127" s="193"/>
      <c r="X127" s="193"/>
      <c r="Y127" s="193"/>
      <c r="Z127" s="193"/>
      <c r="AA127" s="193"/>
    </row>
    <row r="128" spans="1:27" s="315" customFormat="1" ht="24" customHeight="1" x14ac:dyDescent="0.2">
      <c r="A128" s="278" t="s">
        <v>357</v>
      </c>
      <c r="B128" s="284" t="s">
        <v>47</v>
      </c>
      <c r="C128" s="436">
        <f>IF(C134&lt;0.01,0,ROUND(C129/C134,1))</f>
        <v>16.100000000000001</v>
      </c>
      <c r="D128" s="436">
        <f t="shared" ref="D128:H128" si="10">IF(D134&lt;0.01,0,ROUND(D129/D134,1))</f>
        <v>16.399999999999999</v>
      </c>
      <c r="E128" s="436">
        <f t="shared" si="10"/>
        <v>16.100000000000001</v>
      </c>
      <c r="F128" s="436">
        <f t="shared" si="10"/>
        <v>23.2</v>
      </c>
      <c r="G128" s="436">
        <f t="shared" si="10"/>
        <v>21.1</v>
      </c>
      <c r="H128" s="436">
        <f t="shared" si="10"/>
        <v>0</v>
      </c>
      <c r="I128" s="438">
        <f>L128</f>
        <v>12</v>
      </c>
      <c r="J128" s="438">
        <f>AVERAGE(G128,L128:Q128)</f>
        <v>15.833333333333336</v>
      </c>
      <c r="K128" s="1313" t="s">
        <v>1091</v>
      </c>
      <c r="L128" s="436">
        <f>IF(L134&lt;0.01,0,ROUND(L129/L134,1))</f>
        <v>12</v>
      </c>
      <c r="M128" s="436">
        <f t="shared" ref="M128:P128" si="11">IF(M134&lt;0.01,0,ROUND(M129/M134,1))</f>
        <v>38.4</v>
      </c>
      <c r="N128" s="436">
        <f t="shared" si="11"/>
        <v>9.6999999999999993</v>
      </c>
      <c r="O128" s="436">
        <f t="shared" si="11"/>
        <v>12.9</v>
      </c>
      <c r="P128" s="436">
        <f t="shared" si="11"/>
        <v>0.9</v>
      </c>
      <c r="Q128" s="436"/>
      <c r="R128" s="153"/>
      <c r="S128" s="153"/>
      <c r="T128" s="153"/>
      <c r="U128" s="153"/>
      <c r="V128" s="153"/>
      <c r="W128" s="153"/>
      <c r="X128" s="153"/>
      <c r="Y128" s="153"/>
      <c r="Z128" s="153"/>
      <c r="AA128" s="153"/>
    </row>
    <row r="129" spans="1:27" ht="16.5" customHeight="1" x14ac:dyDescent="0.2">
      <c r="A129" s="34" t="s">
        <v>829</v>
      </c>
      <c r="B129" s="291" t="s">
        <v>47</v>
      </c>
      <c r="C129" s="874">
        <v>49.53</v>
      </c>
      <c r="D129" s="874">
        <v>54.5</v>
      </c>
      <c r="E129" s="874">
        <v>55.71</v>
      </c>
      <c r="F129" s="874">
        <v>76.569999999999993</v>
      </c>
      <c r="G129" s="875">
        <v>51.21</v>
      </c>
      <c r="H129" s="298"/>
      <c r="I129" s="1302"/>
      <c r="J129" s="1302"/>
      <c r="K129" s="1314"/>
      <c r="L129" s="302">
        <v>26.87</v>
      </c>
      <c r="M129" s="302">
        <v>27.28</v>
      </c>
      <c r="N129" s="302">
        <v>75.41</v>
      </c>
      <c r="O129" s="302">
        <v>41.52</v>
      </c>
      <c r="P129" s="302">
        <v>7.52</v>
      </c>
      <c r="Q129" s="338"/>
    </row>
    <row r="130" spans="1:27" ht="16.5" customHeight="1" x14ac:dyDescent="0.2">
      <c r="A130" s="33" t="str">
        <f>A70</f>
        <v>Income from continuing operations (after analysis adjust's)</v>
      </c>
      <c r="B130" s="290" t="s">
        <v>47</v>
      </c>
      <c r="C130" s="873">
        <f>'Common-size FS'!C97</f>
        <v>670</v>
      </c>
      <c r="D130" s="873">
        <f>'Common-size FS'!D97</f>
        <v>686</v>
      </c>
      <c r="E130" s="873">
        <f>'Common-size FS'!E97</f>
        <v>682</v>
      </c>
      <c r="F130" s="873">
        <f>'Common-size FS'!F97</f>
        <v>638</v>
      </c>
      <c r="G130" s="873">
        <f>'Common-size FS'!G97</f>
        <v>461</v>
      </c>
      <c r="H130" s="298"/>
      <c r="I130" s="1302"/>
      <c r="J130" s="1302"/>
      <c r="K130" s="1314"/>
      <c r="L130" s="868"/>
      <c r="M130" s="868"/>
      <c r="N130" s="868"/>
      <c r="O130" s="868"/>
      <c r="P130" s="868"/>
      <c r="Q130" s="868"/>
    </row>
    <row r="131" spans="1:27" ht="16.5" customHeight="1" x14ac:dyDescent="0.2">
      <c r="A131" s="113" t="s">
        <v>768</v>
      </c>
      <c r="B131" s="291" t="s">
        <v>47</v>
      </c>
      <c r="C131" s="865">
        <f>C71</f>
        <v>0</v>
      </c>
      <c r="D131" s="865">
        <f>D71</f>
        <v>0</v>
      </c>
      <c r="E131" s="865">
        <f>E71</f>
        <v>0</v>
      </c>
      <c r="F131" s="865">
        <f>F71</f>
        <v>0</v>
      </c>
      <c r="G131" s="865">
        <f>G71</f>
        <v>0</v>
      </c>
      <c r="H131" s="298"/>
      <c r="I131" s="1302"/>
      <c r="J131" s="1302"/>
      <c r="K131" s="1314"/>
      <c r="L131" s="868"/>
      <c r="M131" s="868"/>
      <c r="N131" s="868"/>
      <c r="O131" s="868"/>
      <c r="P131" s="868"/>
      <c r="Q131" s="868"/>
    </row>
    <row r="132" spans="1:27" ht="16.5" customHeight="1" x14ac:dyDescent="0.2">
      <c r="A132" s="33" t="str">
        <f>A72</f>
        <v>Income from contin oper's available to common stockholders</v>
      </c>
      <c r="B132" s="290" t="s">
        <v>47</v>
      </c>
      <c r="C132" s="66">
        <f>C130-C131</f>
        <v>670</v>
      </c>
      <c r="D132" s="66">
        <f>D130-D131</f>
        <v>686</v>
      </c>
      <c r="E132" s="66">
        <f>E130-E131</f>
        <v>682</v>
      </c>
      <c r="F132" s="66">
        <f>F130-F131</f>
        <v>638</v>
      </c>
      <c r="G132" s="66">
        <f>G130-G131</f>
        <v>461</v>
      </c>
      <c r="H132" s="298"/>
      <c r="I132" s="1302"/>
      <c r="J132" s="1302"/>
      <c r="K132" s="1314"/>
      <c r="L132" s="868"/>
      <c r="M132" s="868"/>
      <c r="N132" s="868"/>
      <c r="O132" s="868"/>
      <c r="P132" s="868"/>
      <c r="Q132" s="868"/>
    </row>
    <row r="133" spans="1:27" ht="16.5" customHeight="1" x14ac:dyDescent="0.2">
      <c r="A133" s="34" t="s">
        <v>831</v>
      </c>
      <c r="B133" s="291" t="s">
        <v>47</v>
      </c>
      <c r="C133" s="867">
        <v>217.7</v>
      </c>
      <c r="D133" s="867">
        <v>206.7</v>
      </c>
      <c r="E133" s="867">
        <v>197.7</v>
      </c>
      <c r="F133" s="867">
        <v>193.6</v>
      </c>
      <c r="G133" s="867">
        <v>190.1</v>
      </c>
      <c r="H133" s="298"/>
      <c r="I133" s="1302"/>
      <c r="J133" s="1302"/>
      <c r="K133" s="1314"/>
      <c r="L133" s="868"/>
      <c r="M133" s="868"/>
      <c r="N133" s="868"/>
      <c r="O133" s="868"/>
      <c r="P133" s="868"/>
      <c r="Q133" s="868"/>
    </row>
    <row r="134" spans="1:27" ht="16.5" customHeight="1" x14ac:dyDescent="0.2">
      <c r="A134" s="33" t="s">
        <v>830</v>
      </c>
      <c r="B134" s="290" t="s">
        <v>47</v>
      </c>
      <c r="C134" s="866">
        <f>C132/C133</f>
        <v>3.0776297657326599</v>
      </c>
      <c r="D134" s="866">
        <f>D132/D133</f>
        <v>3.3188195452346396</v>
      </c>
      <c r="E134" s="866">
        <f>E132/E133</f>
        <v>3.4496712190187155</v>
      </c>
      <c r="F134" s="866">
        <f>F132/F133</f>
        <v>3.2954545454545454</v>
      </c>
      <c r="G134" s="866">
        <f>G132/G133</f>
        <v>2.4250394529195161</v>
      </c>
      <c r="H134" s="305"/>
      <c r="I134" s="1303"/>
      <c r="J134" s="1303"/>
      <c r="K134" s="1315"/>
      <c r="L134" s="338">
        <v>2.23</v>
      </c>
      <c r="M134" s="338">
        <v>0.71</v>
      </c>
      <c r="N134" s="338">
        <v>7.79</v>
      </c>
      <c r="O134" s="338">
        <v>3.22</v>
      </c>
      <c r="P134" s="338">
        <v>8.5</v>
      </c>
      <c r="Q134" s="338" t="s">
        <v>1085</v>
      </c>
    </row>
    <row r="135" spans="1:27" s="314" customFormat="1" ht="24" customHeight="1" x14ac:dyDescent="0.2">
      <c r="A135" s="84" t="s">
        <v>58</v>
      </c>
      <c r="B135" s="304" t="s">
        <v>47</v>
      </c>
      <c r="C135" s="329">
        <f>IF(C137&lt;0.01,0,ROUND(C136/C137,2))</f>
        <v>0.3</v>
      </c>
      <c r="D135" s="329">
        <f t="shared" ref="D135:G135" si="12">IF(D137&lt;0.01,0,ROUND(D136/D137,2))</f>
        <v>0.33</v>
      </c>
      <c r="E135" s="329">
        <f t="shared" si="12"/>
        <v>0.35</v>
      </c>
      <c r="F135" s="329">
        <f t="shared" si="12"/>
        <v>0.4</v>
      </c>
      <c r="G135" s="329">
        <f t="shared" si="12"/>
        <v>2.61</v>
      </c>
      <c r="H135" s="442"/>
      <c r="I135" s="334">
        <f>L135</f>
        <v>0.41255605381165922</v>
      </c>
      <c r="J135" s="334">
        <f>AVERAGE(G135,L135:Q135)</f>
        <v>0.81919102609598748</v>
      </c>
      <c r="K135" s="1310" t="s">
        <v>1046</v>
      </c>
      <c r="L135" s="329">
        <f>IF(L136&lt;0.01,0,L136/L137)</f>
        <v>0.41255605381165922</v>
      </c>
      <c r="M135" s="329">
        <f t="shared" ref="M135:P135" si="13">IF(M136&lt;0.01,0,M136/M137)</f>
        <v>1.1267605633802817</v>
      </c>
      <c r="N135" s="329">
        <f t="shared" si="13"/>
        <v>3.3376123234916559E-2</v>
      </c>
      <c r="O135" s="329">
        <f t="shared" si="13"/>
        <v>0.43245341614906829</v>
      </c>
      <c r="P135" s="329">
        <f t="shared" si="13"/>
        <v>0.3</v>
      </c>
      <c r="Q135" s="329" t="s">
        <v>1085</v>
      </c>
      <c r="R135" s="313"/>
      <c r="S135" s="313"/>
      <c r="T135" s="313"/>
      <c r="U135" s="313"/>
      <c r="V135" s="313"/>
      <c r="W135" s="313"/>
      <c r="X135" s="313"/>
      <c r="Y135" s="313"/>
      <c r="Z135" s="313"/>
      <c r="AA135" s="313"/>
    </row>
    <row r="136" spans="1:27" ht="16.5" customHeight="1" x14ac:dyDescent="0.2">
      <c r="A136" s="31" t="s">
        <v>832</v>
      </c>
      <c r="B136" s="303" t="s">
        <v>47</v>
      </c>
      <c r="C136" s="870">
        <v>0.92</v>
      </c>
      <c r="D136" s="870">
        <v>1.08</v>
      </c>
      <c r="E136" s="870">
        <v>1.2</v>
      </c>
      <c r="F136" s="870">
        <v>1.32</v>
      </c>
      <c r="G136" s="870">
        <v>6.33</v>
      </c>
      <c r="H136" s="298"/>
      <c r="I136" s="1302"/>
      <c r="J136" s="1302"/>
      <c r="K136" s="1311"/>
      <c r="L136" s="869">
        <v>0.92</v>
      </c>
      <c r="M136" s="869">
        <v>0.8</v>
      </c>
      <c r="N136" s="869">
        <v>0.26</v>
      </c>
      <c r="O136" s="869">
        <v>1.3925000000000001</v>
      </c>
      <c r="P136" s="869">
        <v>2.5499999999999998</v>
      </c>
      <c r="Q136" s="869" t="s">
        <v>1085</v>
      </c>
    </row>
    <row r="137" spans="1:27" s="15" customFormat="1" ht="16.5" customHeight="1" x14ac:dyDescent="0.2">
      <c r="A137" s="33" t="str">
        <f>A134</f>
        <v>Diluted income from contin operations per common share</v>
      </c>
      <c r="B137" s="290" t="s">
        <v>47</v>
      </c>
      <c r="C137" s="866">
        <f>C134</f>
        <v>3.0776297657326599</v>
      </c>
      <c r="D137" s="866">
        <f>D134</f>
        <v>3.3188195452346396</v>
      </c>
      <c r="E137" s="866">
        <f>E134</f>
        <v>3.4496712190187155</v>
      </c>
      <c r="F137" s="866">
        <f>F134</f>
        <v>3.2954545454545454</v>
      </c>
      <c r="G137" s="866">
        <f>G134</f>
        <v>2.4250394529195161</v>
      </c>
      <c r="H137" s="193"/>
      <c r="I137" s="1303"/>
      <c r="J137" s="1303"/>
      <c r="K137" s="1312"/>
      <c r="L137" s="866">
        <f t="shared" ref="L137:Q137" si="14">L134</f>
        <v>2.23</v>
      </c>
      <c r="M137" s="866">
        <f t="shared" si="14"/>
        <v>0.71</v>
      </c>
      <c r="N137" s="866">
        <f t="shared" si="14"/>
        <v>7.79</v>
      </c>
      <c r="O137" s="866">
        <f t="shared" si="14"/>
        <v>3.22</v>
      </c>
      <c r="P137" s="866">
        <f t="shared" si="14"/>
        <v>8.5</v>
      </c>
      <c r="Q137" s="866" t="str">
        <f t="shared" si="14"/>
        <v xml:space="preserve"> </v>
      </c>
      <c r="R137" s="195"/>
      <c r="S137" s="195"/>
      <c r="T137" s="195"/>
      <c r="U137" s="195"/>
      <c r="V137" s="195"/>
      <c r="W137" s="195"/>
      <c r="X137" s="195"/>
      <c r="Y137" s="195"/>
      <c r="Z137" s="195"/>
      <c r="AA137" s="195"/>
    </row>
    <row r="138" spans="1:27" s="312" customFormat="1" ht="24" customHeight="1" x14ac:dyDescent="0.2">
      <c r="A138" s="273" t="s">
        <v>356</v>
      </c>
      <c r="B138" s="304" t="s">
        <v>47</v>
      </c>
      <c r="C138" s="439">
        <f>ROUND(C141/C142,1)</f>
        <v>5.5</v>
      </c>
      <c r="D138" s="439">
        <f>ROUND(D141/D142,1)</f>
        <v>5.9</v>
      </c>
      <c r="E138" s="439">
        <f>ROUND(E141/E142,1)</f>
        <v>5.3</v>
      </c>
      <c r="F138" s="439">
        <f>ROUND(F141/F142,1)</f>
        <v>6</v>
      </c>
      <c r="G138" s="439">
        <f>ROUND(G141/G142,1)</f>
        <v>11.2</v>
      </c>
      <c r="H138" s="437"/>
      <c r="I138" s="438">
        <f>L138</f>
        <v>8.6</v>
      </c>
      <c r="J138" s="438">
        <f>AVERAGE(G138,L138:Q138)</f>
        <v>5.2333333333333334</v>
      </c>
      <c r="K138" s="1313" t="s">
        <v>1091</v>
      </c>
      <c r="L138" s="439">
        <f>ROUND(L141/L142,1)</f>
        <v>8.6</v>
      </c>
      <c r="M138" s="439">
        <f>ROUND(M141/M142,1)</f>
        <v>0.9</v>
      </c>
      <c r="N138" s="439">
        <f>ROUND(N141/N142,1)</f>
        <v>2.8</v>
      </c>
      <c r="O138" s="439">
        <f>ROUND(O141/O142,1)</f>
        <v>4.4000000000000004</v>
      </c>
      <c r="P138" s="439">
        <f>ROUND(P141/P142,1)</f>
        <v>3.5</v>
      </c>
      <c r="Q138" s="439"/>
      <c r="R138" s="311"/>
      <c r="S138" s="311"/>
      <c r="T138" s="311"/>
      <c r="U138" s="311"/>
      <c r="V138" s="311"/>
      <c r="W138" s="311"/>
      <c r="X138" s="311"/>
      <c r="Y138" s="311"/>
      <c r="Z138" s="311"/>
      <c r="AA138" s="311"/>
    </row>
    <row r="139" spans="1:27" ht="16.5" customHeight="1" x14ac:dyDescent="0.2">
      <c r="A139" s="31" t="str">
        <f>A129</f>
        <v>Market price of common stock</v>
      </c>
      <c r="B139" s="303" t="s">
        <v>47</v>
      </c>
      <c r="C139" s="98">
        <f>C129</f>
        <v>49.53</v>
      </c>
      <c r="D139" s="98">
        <f>D129</f>
        <v>54.5</v>
      </c>
      <c r="E139" s="98">
        <f>E129</f>
        <v>55.71</v>
      </c>
      <c r="F139" s="98">
        <f>F129</f>
        <v>76.569999999999993</v>
      </c>
      <c r="G139" s="98">
        <f>G129</f>
        <v>51.21</v>
      </c>
      <c r="H139" s="298"/>
      <c r="I139" s="1302"/>
      <c r="J139" s="1302"/>
      <c r="K139" s="1314"/>
      <c r="L139" s="98">
        <f t="shared" ref="L139:Q139" si="15">L129</f>
        <v>26.87</v>
      </c>
      <c r="M139" s="98">
        <f t="shared" si="15"/>
        <v>27.28</v>
      </c>
      <c r="N139" s="98">
        <f t="shared" si="15"/>
        <v>75.41</v>
      </c>
      <c r="O139" s="98">
        <f t="shared" si="15"/>
        <v>41.52</v>
      </c>
      <c r="P139" s="98">
        <f t="shared" si="15"/>
        <v>7.52</v>
      </c>
      <c r="Q139" s="98">
        <f t="shared" si="15"/>
        <v>0</v>
      </c>
    </row>
    <row r="140" spans="1:27" s="13" customFormat="1" ht="16.5" customHeight="1" x14ac:dyDescent="0.2">
      <c r="A140" s="182" t="s">
        <v>833</v>
      </c>
      <c r="B140" s="1137" t="s">
        <v>47</v>
      </c>
      <c r="C140" s="1138">
        <f>'Common-size FS'!C66</f>
        <v>218</v>
      </c>
      <c r="D140" s="1138">
        <f>'Common-size FS'!D66</f>
        <v>207.6</v>
      </c>
      <c r="E140" s="1138">
        <f>'Common-size FS'!E66</f>
        <v>197</v>
      </c>
      <c r="F140" s="1138">
        <f>'Common-size FS'!F66</f>
        <v>191.2</v>
      </c>
      <c r="G140" s="1138">
        <f>'Common-size FS'!G66</f>
        <v>190.1</v>
      </c>
      <c r="H140" s="298"/>
      <c r="I140" s="1302"/>
      <c r="J140" s="1302"/>
      <c r="K140" s="1314"/>
      <c r="L140" s="1139">
        <v>818</v>
      </c>
      <c r="M140" s="1139">
        <v>80.099999999999994</v>
      </c>
      <c r="N140" s="1139">
        <v>67.8</v>
      </c>
      <c r="O140" s="1139">
        <v>650.9</v>
      </c>
      <c r="P140" s="1139">
        <v>611</v>
      </c>
      <c r="Q140" s="1139" t="s">
        <v>1085</v>
      </c>
      <c r="R140" s="88"/>
      <c r="S140" s="88"/>
      <c r="T140" s="88"/>
      <c r="U140" s="88"/>
      <c r="V140" s="88"/>
      <c r="W140" s="88"/>
      <c r="X140" s="88"/>
      <c r="Y140" s="88"/>
      <c r="Z140" s="88"/>
      <c r="AA140" s="88"/>
    </row>
    <row r="141" spans="1:27" s="49" customFormat="1" ht="16.5" customHeight="1" x14ac:dyDescent="0.2">
      <c r="A141" s="89" t="s">
        <v>834</v>
      </c>
      <c r="B141" s="1140" t="s">
        <v>47</v>
      </c>
      <c r="C141" s="249">
        <f>ROUND(C139*C140,0)</f>
        <v>10798</v>
      </c>
      <c r="D141" s="249">
        <f>ROUND(D139*D140,0)</f>
        <v>11314</v>
      </c>
      <c r="E141" s="249">
        <f>ROUND(E139*E140,0)</f>
        <v>10975</v>
      </c>
      <c r="F141" s="249">
        <f>ROUND(F139*F140,0)</f>
        <v>14640</v>
      </c>
      <c r="G141" s="249">
        <f>ROUND(G139*G140,0)</f>
        <v>9735</v>
      </c>
      <c r="H141" s="1141"/>
      <c r="I141" s="1302"/>
      <c r="J141" s="1302"/>
      <c r="K141" s="1314"/>
      <c r="L141" s="249">
        <f t="shared" ref="L141:P141" si="16">ROUND(L139*L140,0)</f>
        <v>21980</v>
      </c>
      <c r="M141" s="249">
        <f t="shared" si="16"/>
        <v>2185</v>
      </c>
      <c r="N141" s="249">
        <f t="shared" si="16"/>
        <v>5113</v>
      </c>
      <c r="O141" s="249">
        <f t="shared" si="16"/>
        <v>27025</v>
      </c>
      <c r="P141" s="249">
        <f t="shared" si="16"/>
        <v>4595</v>
      </c>
      <c r="Q141" s="1242" t="s">
        <v>1085</v>
      </c>
      <c r="R141" s="196"/>
      <c r="S141" s="196"/>
      <c r="T141" s="196"/>
      <c r="U141" s="196"/>
      <c r="V141" s="196"/>
      <c r="W141" s="196"/>
      <c r="X141" s="196"/>
      <c r="Y141" s="196"/>
      <c r="Z141" s="196"/>
      <c r="AA141" s="196"/>
    </row>
    <row r="142" spans="1:27" ht="16.5" customHeight="1" x14ac:dyDescent="0.2">
      <c r="A142" s="112" t="s">
        <v>340</v>
      </c>
      <c r="B142" s="303" t="s">
        <v>47</v>
      </c>
      <c r="C142" s="1142">
        <f>SUM('Common-size FS'!C56:C62)</f>
        <v>1956</v>
      </c>
      <c r="D142" s="1142">
        <f>SUM('Common-size FS'!D56:D62)</f>
        <v>1913</v>
      </c>
      <c r="E142" s="1142">
        <f>SUM('Common-size FS'!E56:E62)</f>
        <v>2080</v>
      </c>
      <c r="F142" s="1142">
        <f>SUM('Common-size FS'!F56:F62)</f>
        <v>2440</v>
      </c>
      <c r="G142" s="1142">
        <f>SUM('Common-size FS'!G56:G62)</f>
        <v>871</v>
      </c>
      <c r="H142" s="1143"/>
      <c r="I142" s="1302"/>
      <c r="J142" s="1302"/>
      <c r="K142" s="1315"/>
      <c r="L142" s="1144">
        <v>2545</v>
      </c>
      <c r="M142" s="1144">
        <v>2433</v>
      </c>
      <c r="N142" s="1144">
        <v>1795</v>
      </c>
      <c r="O142" s="1144">
        <v>6080</v>
      </c>
      <c r="P142" s="1144">
        <v>1309</v>
      </c>
      <c r="Q142" s="1144" t="s">
        <v>1085</v>
      </c>
    </row>
    <row r="143" spans="1:27" s="82" customFormat="1" ht="9" customHeight="1" x14ac:dyDescent="0.2">
      <c r="B143" s="41"/>
      <c r="C143" s="41"/>
      <c r="D143" s="41"/>
      <c r="E143" s="41"/>
      <c r="F143" s="41"/>
      <c r="G143" s="36"/>
      <c r="H143" s="193"/>
      <c r="I143" s="193"/>
      <c r="J143" s="193"/>
      <c r="K143" s="204"/>
      <c r="L143" s="41"/>
      <c r="M143" s="41"/>
      <c r="N143" s="41"/>
      <c r="O143" s="41"/>
      <c r="P143" s="36"/>
    </row>
    <row r="144" spans="1:27" s="82" customFormat="1" ht="16.5" customHeight="1" x14ac:dyDescent="0.2">
      <c r="A144" s="36" t="s">
        <v>147</v>
      </c>
      <c r="B144" s="41"/>
      <c r="C144" s="41"/>
      <c r="D144" s="41"/>
      <c r="E144" s="41"/>
      <c r="F144" s="41"/>
      <c r="G144" s="36"/>
      <c r="H144" s="193"/>
      <c r="I144" s="193"/>
      <c r="J144" s="193"/>
      <c r="K144" s="204"/>
      <c r="L144" s="41"/>
      <c r="M144" s="41"/>
      <c r="N144" s="41"/>
      <c r="O144" s="41"/>
      <c r="P144" s="36"/>
    </row>
    <row r="145" spans="1:15" s="683" customFormat="1" ht="16.5" customHeight="1" x14ac:dyDescent="0.2">
      <c r="B145" s="726"/>
      <c r="C145" s="726"/>
      <c r="D145" s="726"/>
      <c r="E145" s="726"/>
      <c r="F145" s="726"/>
      <c r="H145" s="677"/>
      <c r="I145" s="726"/>
      <c r="J145" s="726"/>
      <c r="K145" s="1032"/>
      <c r="L145" s="726"/>
      <c r="M145" s="726"/>
      <c r="N145" s="726"/>
      <c r="O145" s="726"/>
    </row>
    <row r="146" spans="1:15" s="682" customFormat="1" ht="16.5" customHeight="1" x14ac:dyDescent="0.2">
      <c r="B146" s="718"/>
      <c r="C146" s="718"/>
      <c r="D146" s="718"/>
      <c r="E146" s="718"/>
      <c r="F146" s="718"/>
      <c r="H146" s="677"/>
      <c r="I146" s="718"/>
      <c r="J146" s="718"/>
      <c r="K146" s="1033"/>
      <c r="L146" s="718"/>
      <c r="M146" s="718"/>
      <c r="N146" s="718"/>
      <c r="O146" s="718"/>
    </row>
    <row r="147" spans="1:15" s="682" customFormat="1" ht="16.5" customHeight="1" x14ac:dyDescent="0.2">
      <c r="B147" s="718"/>
      <c r="C147" s="718"/>
      <c r="D147" s="718"/>
      <c r="E147" s="718"/>
      <c r="F147" s="718"/>
      <c r="H147" s="677"/>
      <c r="I147" s="718"/>
      <c r="J147" s="718"/>
      <c r="K147" s="1033"/>
      <c r="L147" s="718"/>
      <c r="M147" s="718"/>
      <c r="N147" s="718"/>
      <c r="O147" s="718"/>
    </row>
    <row r="148" spans="1:15" s="682" customFormat="1" ht="16.5" customHeight="1" x14ac:dyDescent="0.2">
      <c r="B148" s="718"/>
      <c r="C148" s="718"/>
      <c r="D148" s="718"/>
      <c r="E148" s="718"/>
      <c r="F148" s="718"/>
      <c r="H148" s="677"/>
      <c r="I148" s="718"/>
      <c r="J148" s="718"/>
      <c r="K148" s="1033"/>
      <c r="L148" s="718"/>
      <c r="M148" s="718"/>
      <c r="N148" s="718"/>
      <c r="O148" s="718"/>
    </row>
    <row r="149" spans="1:15" s="682" customFormat="1" ht="16.5" customHeight="1" x14ac:dyDescent="0.2">
      <c r="B149" s="718"/>
      <c r="C149" s="718"/>
      <c r="D149" s="718"/>
      <c r="E149" s="718"/>
      <c r="F149" s="718"/>
      <c r="H149" s="677"/>
      <c r="I149" s="718"/>
      <c r="J149" s="718"/>
      <c r="K149" s="1033"/>
      <c r="L149" s="718"/>
      <c r="M149" s="718"/>
      <c r="N149" s="718"/>
      <c r="O149" s="718"/>
    </row>
    <row r="150" spans="1:15" s="87" customFormat="1" ht="16.899999999999999" customHeight="1" x14ac:dyDescent="0.2">
      <c r="A150" s="1015" t="s">
        <v>1004</v>
      </c>
      <c r="B150" s="718"/>
      <c r="C150" s="1017"/>
      <c r="D150" s="1018"/>
      <c r="E150" s="1018"/>
      <c r="F150" s="682"/>
      <c r="G150" s="682"/>
      <c r="H150" s="193"/>
      <c r="I150" s="1024"/>
      <c r="J150" s="1024"/>
      <c r="K150" s="1025"/>
      <c r="L150" s="1025"/>
      <c r="M150" s="1025"/>
      <c r="N150" s="1025"/>
      <c r="O150" s="682"/>
    </row>
    <row r="151" spans="1:15" s="87" customFormat="1" ht="16.899999999999999" customHeight="1" x14ac:dyDescent="0.2">
      <c r="A151" s="1010" t="s">
        <v>1030</v>
      </c>
      <c r="B151" s="1009"/>
      <c r="C151" s="1009"/>
      <c r="D151" s="1009"/>
      <c r="E151" s="1031" t="s">
        <v>790</v>
      </c>
      <c r="F151" s="1031" t="s">
        <v>935</v>
      </c>
      <c r="H151" s="193"/>
      <c r="I151" s="1024"/>
      <c r="J151" s="1024"/>
      <c r="K151" s="1025"/>
      <c r="L151" s="1025"/>
      <c r="M151" s="1025"/>
      <c r="N151" s="1025"/>
      <c r="O151" s="682"/>
    </row>
    <row r="152" spans="1:15" s="87" customFormat="1" ht="42" customHeight="1" x14ac:dyDescent="0.2">
      <c r="A152" s="1282" t="s">
        <v>1015</v>
      </c>
      <c r="B152" s="1283"/>
      <c r="C152" s="1283"/>
      <c r="D152" s="1283"/>
      <c r="E152" s="682"/>
      <c r="F152" s="682"/>
      <c r="H152" s="193"/>
      <c r="I152" s="1024"/>
      <c r="J152" s="1024"/>
      <c r="K152" s="1025"/>
      <c r="L152" s="1025"/>
      <c r="M152" s="1025"/>
      <c r="N152" s="1025"/>
      <c r="O152" s="682"/>
    </row>
    <row r="153" spans="1:15" s="87" customFormat="1" ht="16.899999999999999" customHeight="1" x14ac:dyDescent="0.2">
      <c r="A153" s="138" t="s">
        <v>1005</v>
      </c>
      <c r="B153" s="1019"/>
      <c r="C153" s="1019"/>
      <c r="D153" s="1019"/>
      <c r="E153" s="31">
        <v>20</v>
      </c>
      <c r="F153" s="1013"/>
      <c r="H153" s="193"/>
      <c r="I153" s="1024"/>
      <c r="J153" s="1024"/>
      <c r="K153" s="1025"/>
      <c r="L153" s="1025"/>
      <c r="M153" s="1025"/>
      <c r="N153" s="1025"/>
      <c r="O153" s="682"/>
    </row>
    <row r="154" spans="1:15" s="87" customFormat="1" ht="16.899999999999999" customHeight="1" x14ac:dyDescent="0.2">
      <c r="A154" s="138" t="s">
        <v>1006</v>
      </c>
      <c r="B154" s="1019"/>
      <c r="C154" s="1019"/>
      <c r="D154" s="1019"/>
      <c r="E154" s="31">
        <v>20</v>
      </c>
      <c r="F154" s="1013"/>
      <c r="H154" s="193"/>
      <c r="I154" s="1024"/>
      <c r="J154" s="1024"/>
      <c r="K154" s="1025"/>
      <c r="L154" s="1025"/>
      <c r="M154" s="1025"/>
      <c r="N154" s="1025"/>
      <c r="O154" s="682"/>
    </row>
    <row r="155" spans="1:15" s="87" customFormat="1" ht="16.899999999999999" customHeight="1" x14ac:dyDescent="0.2">
      <c r="A155" s="138" t="s">
        <v>1007</v>
      </c>
      <c r="B155" s="1019"/>
      <c r="C155" s="1019"/>
      <c r="D155" s="1019"/>
      <c r="E155" s="31">
        <v>20</v>
      </c>
      <c r="F155" s="1013"/>
      <c r="H155" s="193"/>
      <c r="I155" s="1024"/>
      <c r="J155" s="1024"/>
      <c r="K155" s="1025"/>
      <c r="L155" s="1025"/>
      <c r="M155" s="1025"/>
      <c r="N155" s="1025"/>
      <c r="O155" s="682"/>
    </row>
    <row r="156" spans="1:15" s="87" customFormat="1" ht="16.899999999999999" customHeight="1" x14ac:dyDescent="0.2">
      <c r="A156" s="138" t="s">
        <v>1008</v>
      </c>
      <c r="B156" s="1019"/>
      <c r="C156" s="1019"/>
      <c r="D156" s="1019"/>
      <c r="E156" s="31">
        <v>15</v>
      </c>
      <c r="F156" s="1013"/>
      <c r="H156" s="193"/>
      <c r="I156" s="1024"/>
      <c r="J156" s="1024"/>
      <c r="K156" s="1025"/>
      <c r="L156" s="1025"/>
      <c r="M156" s="1025"/>
      <c r="N156" s="1025"/>
      <c r="O156" s="682"/>
    </row>
    <row r="157" spans="1:15" s="87" customFormat="1" ht="16.899999999999999" customHeight="1" x14ac:dyDescent="0.2">
      <c r="A157" s="138" t="s">
        <v>1009</v>
      </c>
      <c r="B157" s="1019"/>
      <c r="C157" s="1019"/>
      <c r="D157" s="1019"/>
      <c r="E157" s="31">
        <v>15</v>
      </c>
      <c r="F157" s="1013"/>
      <c r="H157" s="193"/>
      <c r="I157" s="1024"/>
      <c r="J157" s="1024"/>
      <c r="K157" s="1025"/>
      <c r="L157" s="1025"/>
      <c r="M157" s="1025"/>
      <c r="N157" s="1025"/>
      <c r="O157" s="682"/>
    </row>
    <row r="158" spans="1:15" s="87" customFormat="1" ht="16.899999999999999" customHeight="1" x14ac:dyDescent="0.2">
      <c r="A158" s="138" t="s">
        <v>1010</v>
      </c>
      <c r="B158" s="1019"/>
      <c r="C158" s="1019"/>
      <c r="D158" s="1019"/>
      <c r="E158" s="31">
        <v>10</v>
      </c>
      <c r="F158" s="1013"/>
      <c r="H158" s="193"/>
      <c r="I158" s="1024"/>
      <c r="J158" s="1024"/>
      <c r="K158" s="1025"/>
      <c r="L158" s="1025"/>
      <c r="M158" s="1025"/>
      <c r="N158" s="1025"/>
      <c r="O158" s="682"/>
    </row>
    <row r="159" spans="1:15" s="198" customFormat="1" ht="16.899999999999999" customHeight="1" thickBot="1" x14ac:dyDescent="0.25">
      <c r="A159" s="169" t="s">
        <v>936</v>
      </c>
      <c r="B159" s="1020"/>
      <c r="C159" s="1020"/>
      <c r="D159" s="1020"/>
      <c r="E159" s="37">
        <f>SUM(E153:E158)</f>
        <v>100</v>
      </c>
      <c r="F159" s="1080">
        <f>SUM(F153:F158)</f>
        <v>0</v>
      </c>
      <c r="H159" s="419"/>
      <c r="I159" s="1028"/>
      <c r="J159" s="1028"/>
      <c r="K159" s="1029"/>
      <c r="L159" s="1029"/>
      <c r="M159" s="1029"/>
      <c r="N159" s="1029"/>
      <c r="O159" s="687"/>
    </row>
    <row r="160" spans="1:15" s="682" customFormat="1" ht="16.5" customHeight="1" x14ac:dyDescent="0.2">
      <c r="B160" s="718"/>
      <c r="C160" s="718"/>
      <c r="D160" s="718"/>
      <c r="E160" s="718"/>
      <c r="F160" s="718"/>
      <c r="H160" s="677"/>
      <c r="I160" s="718"/>
      <c r="J160" s="718"/>
      <c r="K160" s="1033"/>
      <c r="L160" s="718"/>
      <c r="M160" s="718"/>
      <c r="N160" s="718"/>
      <c r="O160" s="718"/>
    </row>
    <row r="161" spans="2:15" s="682" customFormat="1" ht="16.5" customHeight="1" x14ac:dyDescent="0.2">
      <c r="B161" s="718"/>
      <c r="C161" s="718"/>
      <c r="D161" s="718"/>
      <c r="E161" s="718"/>
      <c r="F161" s="718"/>
      <c r="H161" s="677"/>
      <c r="I161" s="718"/>
      <c r="J161" s="718"/>
      <c r="K161" s="1033"/>
      <c r="L161" s="718"/>
      <c r="M161" s="718"/>
      <c r="N161" s="718"/>
      <c r="O161" s="718"/>
    </row>
    <row r="162" spans="2:15" s="682" customFormat="1" ht="16.5" customHeight="1" x14ac:dyDescent="0.2">
      <c r="B162" s="718"/>
      <c r="C162" s="718"/>
      <c r="D162" s="718"/>
      <c r="E162" s="718"/>
      <c r="F162" s="718"/>
      <c r="H162" s="677"/>
      <c r="I162" s="718"/>
      <c r="J162" s="718"/>
      <c r="K162" s="1033"/>
      <c r="L162" s="718"/>
      <c r="M162" s="718"/>
      <c r="N162" s="718"/>
      <c r="O162" s="718"/>
    </row>
    <row r="163" spans="2:15" s="682" customFormat="1" ht="16.899999999999999" customHeight="1" x14ac:dyDescent="0.2">
      <c r="B163" s="718"/>
      <c r="C163" s="1017"/>
      <c r="D163" s="1018"/>
      <c r="E163" s="1018"/>
      <c r="F163" s="1018"/>
      <c r="G163" s="1018"/>
      <c r="H163" s="718"/>
      <c r="I163" s="1024"/>
      <c r="J163" s="1024"/>
      <c r="K163" s="1025"/>
      <c r="L163" s="1025"/>
      <c r="M163" s="1025"/>
      <c r="N163" s="1025"/>
    </row>
    <row r="164" spans="2:15" s="682" customFormat="1" ht="16.899999999999999" customHeight="1" x14ac:dyDescent="0.2">
      <c r="B164" s="718"/>
      <c r="C164" s="1017"/>
      <c r="D164" s="1018"/>
      <c r="E164" s="1018"/>
      <c r="F164" s="1018"/>
      <c r="G164" s="1018"/>
      <c r="H164" s="718"/>
      <c r="I164" s="1024"/>
      <c r="J164" s="1024"/>
      <c r="K164" s="1025"/>
      <c r="L164" s="1025"/>
      <c r="M164" s="1025"/>
      <c r="N164" s="1025"/>
    </row>
    <row r="165" spans="2:15" s="682" customFormat="1" ht="16.899999999999999" customHeight="1" x14ac:dyDescent="0.2">
      <c r="B165" s="718"/>
      <c r="C165" s="1017"/>
      <c r="D165" s="1018"/>
      <c r="E165" s="1018"/>
      <c r="F165" s="1018"/>
      <c r="G165" s="1018"/>
      <c r="H165" s="718"/>
      <c r="I165" s="1024"/>
      <c r="J165" s="1024"/>
      <c r="K165" s="1025"/>
      <c r="L165" s="1025"/>
      <c r="M165" s="1025"/>
      <c r="N165" s="1025"/>
    </row>
    <row r="166" spans="2:15" s="682" customFormat="1" ht="16.899999999999999" customHeight="1" x14ac:dyDescent="0.2">
      <c r="B166" s="718"/>
      <c r="C166" s="1017"/>
      <c r="D166" s="1018"/>
      <c r="E166" s="1018"/>
      <c r="F166" s="1018"/>
      <c r="G166" s="1018"/>
      <c r="H166" s="718"/>
      <c r="I166" s="1024"/>
      <c r="J166" s="1024"/>
      <c r="K166" s="1025"/>
      <c r="L166" s="1025"/>
      <c r="M166" s="1025"/>
      <c r="N166" s="1025"/>
    </row>
    <row r="167" spans="2:15" s="682" customFormat="1" ht="16.899999999999999" customHeight="1" x14ac:dyDescent="0.2">
      <c r="B167" s="718"/>
      <c r="C167" s="1017"/>
      <c r="D167" s="1018"/>
      <c r="E167" s="1018"/>
      <c r="F167" s="1018"/>
      <c r="G167" s="1018"/>
      <c r="H167" s="718"/>
      <c r="I167" s="1024"/>
      <c r="J167" s="1024"/>
      <c r="K167" s="1025"/>
      <c r="L167" s="1025"/>
      <c r="M167" s="1025"/>
      <c r="N167" s="1025"/>
    </row>
    <row r="168" spans="2:15" s="682" customFormat="1" ht="16.899999999999999" customHeight="1" x14ac:dyDescent="0.2">
      <c r="B168" s="718"/>
      <c r="C168" s="1017"/>
      <c r="D168" s="1018"/>
      <c r="E168" s="1018"/>
      <c r="F168" s="1018"/>
      <c r="G168" s="1018"/>
      <c r="H168" s="718"/>
      <c r="I168" s="1024"/>
      <c r="J168" s="1024"/>
      <c r="K168" s="1025"/>
      <c r="L168" s="1025"/>
      <c r="M168" s="1025"/>
      <c r="N168" s="1025"/>
    </row>
    <row r="169" spans="2:15" s="682" customFormat="1" ht="16.899999999999999" customHeight="1" x14ac:dyDescent="0.2">
      <c r="B169" s="718"/>
      <c r="C169" s="1017"/>
      <c r="D169" s="1018"/>
      <c r="E169" s="1018"/>
      <c r="F169" s="1018"/>
      <c r="G169" s="1018"/>
      <c r="H169" s="718"/>
      <c r="I169" s="1024"/>
      <c r="J169" s="1024"/>
      <c r="K169" s="1025"/>
      <c r="L169" s="1025"/>
      <c r="M169" s="1025"/>
      <c r="N169" s="1025"/>
    </row>
    <row r="170" spans="2:15" s="682" customFormat="1" ht="16.899999999999999" customHeight="1" x14ac:dyDescent="0.2">
      <c r="B170" s="718"/>
      <c r="C170" s="1017"/>
      <c r="D170" s="1018"/>
      <c r="E170" s="1018"/>
      <c r="F170" s="1018"/>
      <c r="G170" s="1018"/>
      <c r="H170" s="718"/>
      <c r="I170" s="1024"/>
      <c r="J170" s="1024"/>
      <c r="K170" s="1025"/>
      <c r="L170" s="1025"/>
      <c r="M170" s="1025"/>
      <c r="N170" s="1025"/>
    </row>
    <row r="171" spans="2:15" s="682" customFormat="1" ht="16.899999999999999" customHeight="1" x14ac:dyDescent="0.2">
      <c r="B171" s="718"/>
      <c r="C171" s="1017"/>
      <c r="D171" s="1018"/>
      <c r="E171" s="1018"/>
      <c r="F171" s="1018"/>
      <c r="G171" s="1018"/>
      <c r="H171" s="718"/>
      <c r="I171" s="1024"/>
      <c r="J171" s="1024"/>
      <c r="K171" s="1025"/>
      <c r="L171" s="1025"/>
      <c r="M171" s="1025"/>
      <c r="N171" s="1025"/>
    </row>
    <row r="172" spans="2:15" s="682" customFormat="1" ht="16.899999999999999" customHeight="1" x14ac:dyDescent="0.2">
      <c r="B172" s="718"/>
      <c r="C172" s="1017"/>
      <c r="D172" s="1018"/>
      <c r="E172" s="1018"/>
      <c r="F172" s="1018"/>
      <c r="G172" s="1018"/>
      <c r="H172" s="718"/>
      <c r="I172" s="1024"/>
      <c r="J172" s="1024"/>
      <c r="K172" s="1025"/>
      <c r="L172" s="1025"/>
      <c r="M172" s="1025"/>
      <c r="N172" s="1025"/>
    </row>
    <row r="173" spans="2:15" s="682" customFormat="1" ht="16.899999999999999" customHeight="1" x14ac:dyDescent="0.2">
      <c r="B173" s="718"/>
      <c r="C173" s="1017"/>
      <c r="D173" s="1018"/>
      <c r="E173" s="1018"/>
      <c r="F173" s="1018"/>
      <c r="G173" s="1018"/>
      <c r="H173" s="718"/>
      <c r="I173" s="1024"/>
      <c r="J173" s="1024"/>
      <c r="K173" s="1025"/>
      <c r="L173" s="1025"/>
      <c r="M173" s="1025"/>
      <c r="N173" s="1025"/>
    </row>
    <row r="174" spans="2:15" s="682" customFormat="1" ht="16.899999999999999" customHeight="1" x14ac:dyDescent="0.2">
      <c r="B174" s="718"/>
      <c r="C174" s="1017"/>
      <c r="D174" s="1018"/>
      <c r="E174" s="1018"/>
      <c r="F174" s="1018"/>
      <c r="G174" s="1018"/>
      <c r="H174" s="718"/>
      <c r="I174" s="1024"/>
      <c r="J174" s="1024"/>
      <c r="K174" s="1025"/>
      <c r="L174" s="1025"/>
      <c r="M174" s="1025"/>
      <c r="N174" s="1025"/>
    </row>
    <row r="175" spans="2:15" s="682" customFormat="1" ht="16.899999999999999" customHeight="1" x14ac:dyDescent="0.2">
      <c r="B175" s="718"/>
      <c r="C175" s="1017"/>
      <c r="D175" s="1018"/>
      <c r="E175" s="1018"/>
      <c r="F175" s="1018"/>
      <c r="G175" s="1018"/>
      <c r="H175" s="718"/>
      <c r="I175" s="1024"/>
      <c r="J175" s="1024"/>
      <c r="K175" s="1025"/>
      <c r="L175" s="1025"/>
      <c r="M175" s="1025"/>
      <c r="N175" s="1025"/>
    </row>
    <row r="176" spans="2:15" s="682" customFormat="1" ht="16.899999999999999" customHeight="1" x14ac:dyDescent="0.2">
      <c r="B176" s="718"/>
      <c r="C176" s="1017"/>
      <c r="D176" s="1018"/>
      <c r="E176" s="1018"/>
      <c r="F176" s="1018"/>
      <c r="G176" s="1018"/>
      <c r="H176" s="718"/>
      <c r="I176" s="1024"/>
      <c r="J176" s="1024"/>
      <c r="K176" s="1025"/>
      <c r="L176" s="1025"/>
      <c r="M176" s="1025"/>
      <c r="N176" s="1025"/>
    </row>
    <row r="177" spans="2:14" s="682" customFormat="1" ht="16.899999999999999" customHeight="1" x14ac:dyDescent="0.2">
      <c r="B177" s="718"/>
      <c r="C177" s="1017"/>
      <c r="D177" s="1018"/>
      <c r="E177" s="1018"/>
      <c r="F177" s="1018"/>
      <c r="G177" s="1018"/>
      <c r="H177" s="718"/>
      <c r="I177" s="1024"/>
      <c r="J177" s="1024"/>
      <c r="K177" s="1025"/>
      <c r="L177" s="1025"/>
      <c r="M177" s="1025"/>
      <c r="N177" s="1025"/>
    </row>
    <row r="178" spans="2:14" s="682" customFormat="1" ht="16.899999999999999" customHeight="1" x14ac:dyDescent="0.2">
      <c r="B178" s="718"/>
      <c r="C178" s="1017"/>
      <c r="D178" s="1018"/>
      <c r="E178" s="1018"/>
      <c r="F178" s="1018"/>
      <c r="G178" s="1018"/>
      <c r="H178" s="718"/>
      <c r="I178" s="1024"/>
      <c r="J178" s="1024"/>
      <c r="K178" s="1025"/>
      <c r="L178" s="1025"/>
      <c r="M178" s="1025"/>
      <c r="N178" s="1025"/>
    </row>
    <row r="179" spans="2:14" s="682" customFormat="1" ht="16.899999999999999" customHeight="1" x14ac:dyDescent="0.2">
      <c r="B179" s="718"/>
      <c r="C179" s="1017"/>
      <c r="D179" s="1018"/>
      <c r="E179" s="1018"/>
      <c r="F179" s="1018"/>
      <c r="G179" s="1018"/>
      <c r="H179" s="718"/>
      <c r="I179" s="1024"/>
      <c r="J179" s="1024"/>
      <c r="K179" s="1025"/>
      <c r="L179" s="1025"/>
      <c r="M179" s="1025"/>
      <c r="N179" s="1025"/>
    </row>
    <row r="180" spans="2:14" s="682" customFormat="1" ht="16.899999999999999" customHeight="1" x14ac:dyDescent="0.2">
      <c r="B180" s="718"/>
      <c r="C180" s="1017"/>
      <c r="D180" s="1018"/>
      <c r="E180" s="1018"/>
      <c r="F180" s="1018"/>
      <c r="G180" s="1018"/>
      <c r="H180" s="718"/>
      <c r="I180" s="1024"/>
      <c r="J180" s="1024"/>
      <c r="K180" s="1025"/>
      <c r="L180" s="1025"/>
      <c r="M180" s="1025"/>
      <c r="N180" s="1025"/>
    </row>
    <row r="181" spans="2:14" s="682" customFormat="1" ht="16.899999999999999" customHeight="1" x14ac:dyDescent="0.2">
      <c r="B181" s="718"/>
      <c r="C181" s="1017"/>
      <c r="D181" s="1018"/>
      <c r="E181" s="1018"/>
      <c r="F181" s="1018"/>
      <c r="G181" s="1018"/>
      <c r="H181" s="718"/>
      <c r="I181" s="1024"/>
      <c r="J181" s="1024"/>
      <c r="K181" s="1025"/>
      <c r="L181" s="1025"/>
      <c r="M181" s="1025"/>
      <c r="N181" s="1025"/>
    </row>
    <row r="182" spans="2:14" s="682" customFormat="1" ht="16.899999999999999" customHeight="1" x14ac:dyDescent="0.2">
      <c r="B182" s="718"/>
      <c r="C182" s="1017"/>
      <c r="D182" s="1018"/>
      <c r="E182" s="1018"/>
      <c r="F182" s="1018"/>
      <c r="G182" s="1018"/>
      <c r="H182" s="718"/>
      <c r="I182" s="1024"/>
      <c r="J182" s="1024"/>
      <c r="K182" s="1025"/>
      <c r="L182" s="1025"/>
      <c r="M182" s="1025"/>
      <c r="N182" s="1025"/>
    </row>
    <row r="183" spans="2:14" s="682" customFormat="1" ht="16.899999999999999" customHeight="1" x14ac:dyDescent="0.2">
      <c r="B183" s="718"/>
      <c r="C183" s="1017"/>
      <c r="D183" s="1018"/>
      <c r="E183" s="1018"/>
      <c r="F183" s="1018"/>
      <c r="G183" s="1018"/>
      <c r="H183" s="718"/>
      <c r="I183" s="1024"/>
      <c r="J183" s="1024"/>
      <c r="K183" s="1025"/>
      <c r="L183" s="1025"/>
      <c r="M183" s="1025"/>
      <c r="N183" s="1025"/>
    </row>
    <row r="184" spans="2:14" s="682" customFormat="1" ht="16.899999999999999" customHeight="1" x14ac:dyDescent="0.2">
      <c r="B184" s="718"/>
      <c r="C184" s="1017"/>
      <c r="D184" s="1018"/>
      <c r="E184" s="1018"/>
      <c r="F184" s="1018"/>
      <c r="G184" s="1018"/>
      <c r="H184" s="718"/>
      <c r="I184" s="1024"/>
      <c r="J184" s="1024"/>
      <c r="K184" s="1025"/>
      <c r="L184" s="1025"/>
      <c r="M184" s="1025"/>
      <c r="N184" s="1025"/>
    </row>
    <row r="185" spans="2:14" s="682" customFormat="1" ht="16.899999999999999" customHeight="1" x14ac:dyDescent="0.2">
      <c r="B185" s="718"/>
      <c r="C185" s="1017"/>
      <c r="D185" s="1018"/>
      <c r="E185" s="1018"/>
      <c r="F185" s="1018"/>
      <c r="G185" s="1018"/>
      <c r="H185" s="718"/>
      <c r="I185" s="1024"/>
      <c r="J185" s="1024"/>
      <c r="K185" s="1025"/>
      <c r="L185" s="1025"/>
      <c r="M185" s="1025"/>
      <c r="N185" s="1025"/>
    </row>
    <row r="186" spans="2:14" s="682" customFormat="1" ht="16.899999999999999" customHeight="1" x14ac:dyDescent="0.2">
      <c r="B186" s="718"/>
      <c r="C186" s="1017"/>
      <c r="D186" s="1018"/>
      <c r="E186" s="1018"/>
      <c r="F186" s="1018"/>
      <c r="G186" s="1018"/>
      <c r="H186" s="718"/>
      <c r="I186" s="1024"/>
      <c r="J186" s="1024"/>
      <c r="K186" s="1025"/>
      <c r="L186" s="1025"/>
      <c r="M186" s="1025"/>
      <c r="N186" s="1025"/>
    </row>
    <row r="187" spans="2:14" s="682" customFormat="1" ht="16.899999999999999" customHeight="1" x14ac:dyDescent="0.2">
      <c r="B187" s="718"/>
      <c r="C187" s="1017"/>
      <c r="D187" s="1018"/>
      <c r="E187" s="1018"/>
      <c r="F187" s="1018"/>
      <c r="G187" s="1018"/>
      <c r="H187" s="718"/>
      <c r="I187" s="1024"/>
      <c r="J187" s="1024"/>
      <c r="K187" s="1025"/>
      <c r="L187" s="1025"/>
      <c r="M187" s="1025"/>
      <c r="N187" s="1025"/>
    </row>
    <row r="188" spans="2:14" s="682" customFormat="1" ht="16.899999999999999" customHeight="1" x14ac:dyDescent="0.2">
      <c r="B188" s="718"/>
      <c r="C188" s="1017"/>
      <c r="D188" s="1018"/>
      <c r="E188" s="1018"/>
      <c r="F188" s="1018"/>
      <c r="G188" s="1018"/>
      <c r="H188" s="718"/>
      <c r="I188" s="1024"/>
      <c r="J188" s="1024"/>
      <c r="K188" s="1025"/>
      <c r="L188" s="1025"/>
      <c r="M188" s="1025"/>
      <c r="N188" s="1025"/>
    </row>
    <row r="189" spans="2:14" s="682" customFormat="1" ht="16.899999999999999" customHeight="1" x14ac:dyDescent="0.2">
      <c r="B189" s="718"/>
      <c r="C189" s="1017"/>
      <c r="D189" s="1018"/>
      <c r="E189" s="1018"/>
      <c r="F189" s="1018"/>
      <c r="G189" s="1018"/>
      <c r="H189" s="718"/>
      <c r="I189" s="1024"/>
      <c r="J189" s="1024"/>
      <c r="K189" s="1025"/>
      <c r="L189" s="1025"/>
      <c r="M189" s="1025"/>
      <c r="N189" s="1025"/>
    </row>
    <row r="190" spans="2:14" s="682" customFormat="1" ht="16.899999999999999" customHeight="1" x14ac:dyDescent="0.2">
      <c r="B190" s="718"/>
      <c r="C190" s="1017"/>
      <c r="D190" s="1018"/>
      <c r="E190" s="1018"/>
      <c r="F190" s="1018"/>
      <c r="G190" s="1018"/>
      <c r="H190" s="718"/>
      <c r="I190" s="1024"/>
      <c r="J190" s="1024"/>
      <c r="K190" s="1025"/>
      <c r="L190" s="1025"/>
      <c r="M190" s="1025"/>
      <c r="N190" s="1025"/>
    </row>
    <row r="191" spans="2:14" s="682" customFormat="1" ht="16.899999999999999" customHeight="1" x14ac:dyDescent="0.2">
      <c r="B191" s="718"/>
      <c r="C191" s="1017"/>
      <c r="D191" s="1018"/>
      <c r="E191" s="1018"/>
      <c r="F191" s="1018"/>
      <c r="G191" s="1018"/>
      <c r="H191" s="718"/>
      <c r="I191" s="1024"/>
      <c r="J191" s="1024"/>
      <c r="K191" s="1025"/>
      <c r="L191" s="1025"/>
      <c r="M191" s="1025"/>
      <c r="N191" s="1025"/>
    </row>
    <row r="192" spans="2:14" s="682" customFormat="1" ht="16.899999999999999" customHeight="1" x14ac:dyDescent="0.2">
      <c r="B192" s="718"/>
      <c r="C192" s="1017"/>
      <c r="D192" s="1018"/>
      <c r="E192" s="1018"/>
      <c r="F192" s="1018"/>
      <c r="G192" s="1018"/>
      <c r="H192" s="718"/>
      <c r="I192" s="1024"/>
      <c r="J192" s="1024"/>
      <c r="K192" s="1025"/>
      <c r="L192" s="1025"/>
      <c r="M192" s="1025"/>
      <c r="N192" s="1025"/>
    </row>
    <row r="193" spans="1:27" s="682" customFormat="1" ht="16.899999999999999" customHeight="1" x14ac:dyDescent="0.2">
      <c r="B193" s="718"/>
      <c r="C193" s="1017"/>
      <c r="D193" s="1018"/>
      <c r="E193" s="1018"/>
      <c r="F193" s="1018"/>
      <c r="G193" s="1018"/>
      <c r="H193" s="718"/>
      <c r="I193" s="1024"/>
      <c r="J193" s="1024"/>
      <c r="K193" s="1025"/>
      <c r="L193" s="1025"/>
      <c r="M193" s="1025"/>
      <c r="N193" s="1025"/>
    </row>
    <row r="194" spans="1:27" s="682" customFormat="1" ht="16.899999999999999" customHeight="1" x14ac:dyDescent="0.2">
      <c r="B194" s="718"/>
      <c r="C194" s="1017"/>
      <c r="D194" s="1018"/>
      <c r="E194" s="1018"/>
      <c r="F194" s="1018"/>
      <c r="G194" s="1018"/>
      <c r="H194" s="718"/>
      <c r="I194" s="1024"/>
      <c r="J194" s="1024"/>
      <c r="K194" s="1025"/>
      <c r="L194" s="1025"/>
      <c r="M194" s="1025"/>
      <c r="N194" s="1025"/>
    </row>
    <row r="195" spans="1:27" s="682" customFormat="1" ht="16.899999999999999" customHeight="1" x14ac:dyDescent="0.2">
      <c r="B195" s="718"/>
      <c r="C195" s="1017"/>
      <c r="D195" s="1018"/>
      <c r="E195" s="1018"/>
      <c r="F195" s="1018"/>
      <c r="G195" s="1018"/>
      <c r="H195" s="718"/>
      <c r="I195" s="1024"/>
      <c r="J195" s="1024"/>
      <c r="K195" s="1025"/>
      <c r="L195" s="1025"/>
      <c r="M195" s="1025"/>
      <c r="N195" s="1025"/>
    </row>
    <row r="196" spans="1:27" s="682" customFormat="1" ht="16.899999999999999" customHeight="1" x14ac:dyDescent="0.2">
      <c r="B196" s="718"/>
      <c r="C196" s="1017"/>
      <c r="D196" s="1018"/>
      <c r="E196" s="1018"/>
      <c r="F196" s="1018"/>
      <c r="G196" s="1018"/>
      <c r="H196" s="718"/>
      <c r="I196" s="1024"/>
      <c r="J196" s="1024"/>
      <c r="K196" s="1025"/>
      <c r="L196" s="1025"/>
      <c r="M196" s="1025"/>
      <c r="N196" s="1025"/>
    </row>
    <row r="197" spans="1:27" ht="16.899999999999999" customHeight="1" x14ac:dyDescent="0.2">
      <c r="A197" s="10"/>
      <c r="C197" s="53"/>
      <c r="D197" s="21"/>
      <c r="E197" s="21"/>
      <c r="F197" s="21"/>
      <c r="G197" s="21"/>
      <c r="H197" s="96"/>
      <c r="I197" s="63"/>
      <c r="J197" s="63"/>
      <c r="K197" s="420"/>
      <c r="L197" s="420"/>
      <c r="M197" s="420"/>
      <c r="N197" s="420"/>
      <c r="O197" s="87"/>
      <c r="P197" s="87"/>
      <c r="AA197" s="10"/>
    </row>
    <row r="198" spans="1:27" ht="16.899999999999999" customHeight="1" x14ac:dyDescent="0.2">
      <c r="A198" s="10"/>
      <c r="C198" s="53"/>
      <c r="D198" s="21"/>
      <c r="E198" s="21"/>
      <c r="F198" s="21"/>
      <c r="G198" s="21"/>
      <c r="H198" s="96"/>
      <c r="I198" s="63"/>
      <c r="J198" s="63"/>
      <c r="K198" s="420"/>
      <c r="L198" s="420"/>
      <c r="M198" s="420"/>
      <c r="N198" s="420"/>
      <c r="O198" s="87"/>
      <c r="P198" s="87"/>
      <c r="AA198" s="10"/>
    </row>
    <row r="199" spans="1:27" ht="16.899999999999999" customHeight="1" x14ac:dyDescent="0.2">
      <c r="A199" s="10"/>
      <c r="C199" s="53"/>
      <c r="D199" s="21"/>
      <c r="E199" s="21"/>
      <c r="F199" s="21"/>
      <c r="G199" s="21"/>
      <c r="H199" s="96"/>
      <c r="I199" s="63"/>
      <c r="J199" s="63"/>
      <c r="K199" s="420"/>
      <c r="L199" s="420"/>
      <c r="M199" s="420"/>
      <c r="N199" s="420"/>
      <c r="O199" s="87"/>
      <c r="P199" s="87"/>
      <c r="AA199" s="10"/>
    </row>
    <row r="200" spans="1:27" ht="16.899999999999999" customHeight="1" x14ac:dyDescent="0.2">
      <c r="A200" s="10"/>
      <c r="C200" s="53"/>
      <c r="D200" s="21"/>
      <c r="E200" s="21"/>
      <c r="F200" s="21"/>
      <c r="G200" s="21"/>
      <c r="H200" s="96"/>
      <c r="I200" s="63"/>
      <c r="J200" s="63"/>
      <c r="K200" s="420"/>
      <c r="L200" s="420"/>
      <c r="M200" s="420"/>
      <c r="N200" s="420"/>
      <c r="O200" s="87"/>
      <c r="P200" s="87"/>
      <c r="AA200" s="10"/>
    </row>
    <row r="201" spans="1:27" ht="16.899999999999999" customHeight="1" x14ac:dyDescent="0.2">
      <c r="A201" s="10"/>
      <c r="C201" s="53"/>
      <c r="D201" s="21"/>
      <c r="E201" s="21"/>
      <c r="F201" s="21"/>
      <c r="G201" s="21"/>
      <c r="H201" s="96"/>
      <c r="I201" s="63"/>
      <c r="J201" s="63"/>
      <c r="K201" s="420"/>
      <c r="L201" s="420"/>
      <c r="M201" s="420"/>
      <c r="N201" s="420"/>
      <c r="O201" s="87"/>
      <c r="P201" s="87"/>
      <c r="AA201" s="10"/>
    </row>
    <row r="202" spans="1:27" ht="16.899999999999999" customHeight="1" x14ac:dyDescent="0.2">
      <c r="A202" s="10"/>
      <c r="C202" s="53"/>
      <c r="D202" s="21"/>
      <c r="E202" s="21"/>
      <c r="F202" s="21"/>
      <c r="G202" s="21"/>
      <c r="H202" s="96"/>
      <c r="I202" s="63"/>
      <c r="J202" s="63"/>
      <c r="K202" s="420"/>
      <c r="L202" s="420"/>
      <c r="M202" s="420"/>
      <c r="N202" s="420"/>
      <c r="O202" s="87"/>
      <c r="P202" s="87"/>
      <c r="AA202" s="10"/>
    </row>
    <row r="203" spans="1:27" ht="16.899999999999999" customHeight="1" x14ac:dyDescent="0.2">
      <c r="A203" s="10"/>
      <c r="C203" s="53"/>
      <c r="D203" s="21"/>
      <c r="E203" s="21"/>
      <c r="F203" s="21"/>
      <c r="G203" s="21"/>
      <c r="H203" s="96"/>
      <c r="I203" s="63"/>
      <c r="J203" s="63"/>
      <c r="K203" s="420"/>
      <c r="L203" s="420"/>
      <c r="M203" s="420"/>
      <c r="N203" s="420"/>
      <c r="O203" s="87"/>
      <c r="P203" s="87"/>
      <c r="AA203" s="10"/>
    </row>
    <row r="204" spans="1:27" ht="16.899999999999999" customHeight="1" x14ac:dyDescent="0.2">
      <c r="A204" s="10"/>
      <c r="C204" s="53"/>
      <c r="D204" s="21"/>
      <c r="E204" s="21"/>
      <c r="F204" s="21"/>
      <c r="G204" s="21"/>
      <c r="H204" s="96"/>
      <c r="I204" s="63"/>
      <c r="J204" s="63"/>
      <c r="K204" s="420"/>
      <c r="L204" s="420"/>
      <c r="M204" s="420"/>
      <c r="N204" s="420"/>
      <c r="O204" s="87"/>
      <c r="P204" s="87"/>
      <c r="AA204" s="10"/>
    </row>
    <row r="205" spans="1:27" ht="16.899999999999999" customHeight="1" x14ac:dyDescent="0.2">
      <c r="A205" s="10"/>
      <c r="C205" s="53"/>
      <c r="D205" s="21"/>
      <c r="E205" s="21"/>
      <c r="F205" s="21"/>
      <c r="G205" s="21"/>
      <c r="H205" s="96"/>
      <c r="I205" s="63"/>
      <c r="J205" s="63"/>
      <c r="K205" s="420"/>
      <c r="L205" s="420"/>
      <c r="M205" s="420"/>
      <c r="N205" s="420"/>
      <c r="O205" s="87"/>
      <c r="P205" s="87"/>
      <c r="AA205" s="10"/>
    </row>
    <row r="206" spans="1:27" ht="16.899999999999999" customHeight="1" x14ac:dyDescent="0.2">
      <c r="A206" s="10"/>
      <c r="C206" s="53"/>
      <c r="D206" s="21"/>
      <c r="E206" s="21"/>
      <c r="F206" s="21"/>
      <c r="G206" s="21"/>
      <c r="H206" s="96"/>
      <c r="I206" s="63"/>
      <c r="J206" s="63"/>
      <c r="K206" s="420"/>
      <c r="L206" s="420"/>
      <c r="M206" s="420"/>
      <c r="N206" s="420"/>
      <c r="O206" s="87"/>
      <c r="P206" s="87"/>
      <c r="AA206" s="10"/>
    </row>
    <row r="207" spans="1:27" ht="16.899999999999999" customHeight="1" x14ac:dyDescent="0.2">
      <c r="A207" s="10"/>
      <c r="C207" s="53"/>
      <c r="D207" s="21"/>
      <c r="E207" s="21"/>
      <c r="F207" s="21"/>
      <c r="G207" s="21"/>
      <c r="H207" s="96"/>
      <c r="I207" s="63"/>
      <c r="J207" s="63"/>
      <c r="K207" s="420"/>
      <c r="L207" s="420"/>
      <c r="M207" s="420"/>
      <c r="N207" s="420"/>
      <c r="O207" s="87"/>
      <c r="P207" s="87"/>
      <c r="AA207" s="10"/>
    </row>
    <row r="208" spans="1:27" ht="16.899999999999999" customHeight="1" x14ac:dyDescent="0.2">
      <c r="A208" s="10"/>
      <c r="C208" s="53"/>
      <c r="D208" s="21"/>
      <c r="E208" s="21"/>
      <c r="F208" s="21"/>
      <c r="G208" s="21"/>
      <c r="H208" s="96"/>
      <c r="I208" s="63"/>
      <c r="J208" s="63"/>
      <c r="K208" s="420"/>
      <c r="L208" s="420"/>
      <c r="M208" s="420"/>
      <c r="N208" s="420"/>
      <c r="O208" s="87"/>
      <c r="P208" s="87"/>
      <c r="AA208" s="10"/>
    </row>
    <row r="209" spans="1:27" ht="16.899999999999999" customHeight="1" x14ac:dyDescent="0.2">
      <c r="A209" s="10"/>
      <c r="C209" s="53"/>
      <c r="D209" s="21"/>
      <c r="E209" s="21"/>
      <c r="F209" s="21"/>
      <c r="G209" s="21"/>
      <c r="H209" s="96"/>
      <c r="I209" s="63"/>
      <c r="J209" s="63"/>
      <c r="K209" s="420"/>
      <c r="L209" s="420"/>
      <c r="M209" s="420"/>
      <c r="N209" s="420"/>
      <c r="O209" s="87"/>
      <c r="P209" s="87"/>
      <c r="AA209" s="10"/>
    </row>
    <row r="210" spans="1:27" ht="16.899999999999999" customHeight="1" x14ac:dyDescent="0.2">
      <c r="A210" s="10"/>
      <c r="C210" s="53"/>
      <c r="D210" s="21"/>
      <c r="E210" s="21"/>
      <c r="F210" s="21"/>
      <c r="G210" s="21"/>
      <c r="H210" s="96"/>
      <c r="I210" s="63"/>
      <c r="J210" s="63"/>
      <c r="K210" s="420"/>
      <c r="L210" s="420"/>
      <c r="M210" s="420"/>
      <c r="N210" s="420"/>
      <c r="O210" s="87"/>
      <c r="P210" s="87"/>
      <c r="AA210" s="10"/>
    </row>
    <row r="211" spans="1:27" ht="16.899999999999999" customHeight="1" x14ac:dyDescent="0.2">
      <c r="A211" s="10"/>
      <c r="C211" s="53"/>
      <c r="D211" s="21"/>
      <c r="E211" s="21"/>
      <c r="F211" s="21"/>
      <c r="G211" s="21"/>
      <c r="H211" s="96"/>
      <c r="I211" s="63"/>
      <c r="J211" s="63"/>
      <c r="K211" s="420"/>
      <c r="L211" s="420"/>
      <c r="M211" s="420"/>
      <c r="N211" s="420"/>
      <c r="O211" s="87"/>
      <c r="P211" s="87"/>
      <c r="AA211" s="10"/>
    </row>
    <row r="212" spans="1:27" ht="16.899999999999999" customHeight="1" x14ac:dyDescent="0.2">
      <c r="A212" s="10"/>
      <c r="C212" s="53"/>
      <c r="D212" s="21"/>
      <c r="E212" s="21"/>
      <c r="F212" s="21"/>
      <c r="G212" s="21"/>
      <c r="H212" s="96"/>
      <c r="I212" s="63"/>
      <c r="J212" s="63"/>
      <c r="K212" s="420"/>
      <c r="L212" s="420"/>
      <c r="M212" s="420"/>
      <c r="N212" s="420"/>
      <c r="O212" s="87"/>
      <c r="P212" s="87"/>
      <c r="AA212" s="10"/>
    </row>
    <row r="213" spans="1:27" ht="16.899999999999999" customHeight="1" x14ac:dyDescent="0.2">
      <c r="A213" s="10"/>
      <c r="C213" s="53"/>
      <c r="D213" s="21"/>
      <c r="E213" s="21"/>
      <c r="F213" s="21"/>
      <c r="G213" s="21"/>
      <c r="H213" s="96"/>
      <c r="I213" s="63"/>
      <c r="J213" s="63"/>
      <c r="K213" s="420"/>
      <c r="L213" s="420"/>
      <c r="M213" s="420"/>
      <c r="N213" s="420"/>
      <c r="O213" s="87"/>
      <c r="P213" s="87"/>
      <c r="AA213" s="10"/>
    </row>
    <row r="214" spans="1:27" ht="16.899999999999999" customHeight="1" x14ac:dyDescent="0.2">
      <c r="A214" s="10"/>
      <c r="C214" s="53"/>
      <c r="D214" s="21"/>
      <c r="E214" s="21"/>
      <c r="F214" s="21"/>
      <c r="G214" s="21"/>
      <c r="H214" s="96"/>
      <c r="I214" s="63"/>
      <c r="J214" s="63"/>
      <c r="K214" s="420"/>
      <c r="L214" s="420"/>
      <c r="M214" s="420"/>
      <c r="N214" s="420"/>
      <c r="O214" s="87"/>
      <c r="P214" s="87"/>
      <c r="AA214" s="10"/>
    </row>
    <row r="215" spans="1:27" ht="16.899999999999999" customHeight="1" x14ac:dyDescent="0.2">
      <c r="A215" s="10"/>
      <c r="C215" s="53"/>
      <c r="D215" s="21"/>
      <c r="E215" s="21"/>
      <c r="F215" s="21"/>
      <c r="G215" s="21"/>
      <c r="H215" s="96"/>
      <c r="I215" s="63"/>
      <c r="J215" s="63"/>
      <c r="K215" s="420"/>
      <c r="L215" s="420"/>
      <c r="M215" s="420"/>
      <c r="N215" s="420"/>
      <c r="O215" s="87"/>
      <c r="P215" s="87"/>
      <c r="AA215" s="10"/>
    </row>
    <row r="216" spans="1:27" ht="16.899999999999999" customHeight="1" x14ac:dyDescent="0.2">
      <c r="A216" s="10"/>
      <c r="C216" s="53"/>
      <c r="D216" s="21"/>
      <c r="E216" s="21"/>
      <c r="F216" s="21"/>
      <c r="G216" s="21"/>
      <c r="H216" s="96"/>
      <c r="I216" s="63"/>
      <c r="J216" s="63"/>
      <c r="K216" s="420"/>
      <c r="L216" s="420"/>
      <c r="M216" s="420"/>
      <c r="N216" s="420"/>
      <c r="O216" s="87"/>
      <c r="P216" s="87"/>
      <c r="AA216" s="10"/>
    </row>
    <row r="217" spans="1:27" ht="16.899999999999999" customHeight="1" x14ac:dyDescent="0.2">
      <c r="A217" s="10"/>
      <c r="C217" s="53"/>
      <c r="D217" s="21"/>
      <c r="E217" s="21"/>
      <c r="F217" s="21"/>
      <c r="G217" s="21"/>
      <c r="H217" s="96"/>
      <c r="I217" s="63"/>
      <c r="J217" s="63"/>
      <c r="K217" s="420"/>
      <c r="L217" s="420"/>
      <c r="M217" s="420"/>
      <c r="N217" s="420"/>
      <c r="O217" s="87"/>
      <c r="P217" s="87"/>
      <c r="AA217" s="10"/>
    </row>
    <row r="218" spans="1:27" ht="16.899999999999999" customHeight="1" x14ac:dyDescent="0.2">
      <c r="A218" s="10"/>
      <c r="C218" s="53"/>
      <c r="D218" s="21"/>
      <c r="E218" s="21"/>
      <c r="F218" s="21"/>
      <c r="G218" s="21"/>
      <c r="H218" s="96"/>
      <c r="I218" s="63"/>
      <c r="J218" s="63"/>
      <c r="K218" s="420"/>
      <c r="L218" s="420"/>
      <c r="M218" s="420"/>
      <c r="N218" s="420"/>
      <c r="O218" s="87"/>
      <c r="P218" s="87"/>
      <c r="AA218" s="10"/>
    </row>
    <row r="219" spans="1:27" ht="16.899999999999999" customHeight="1" x14ac:dyDescent="0.2">
      <c r="A219" s="10"/>
      <c r="C219" s="53"/>
      <c r="D219" s="21"/>
      <c r="E219" s="21"/>
      <c r="F219" s="21"/>
      <c r="G219" s="21"/>
      <c r="H219" s="96"/>
      <c r="I219" s="63"/>
      <c r="J219" s="63"/>
      <c r="K219" s="420"/>
      <c r="L219" s="420"/>
      <c r="M219" s="420"/>
      <c r="N219" s="420"/>
      <c r="O219" s="87"/>
      <c r="P219" s="87"/>
      <c r="AA219" s="10"/>
    </row>
    <row r="220" spans="1:27" ht="16.899999999999999" customHeight="1" x14ac:dyDescent="0.2">
      <c r="A220" s="10"/>
      <c r="C220" s="53"/>
      <c r="D220" s="21"/>
      <c r="E220" s="21"/>
      <c r="F220" s="21"/>
      <c r="G220" s="21"/>
      <c r="H220" s="96"/>
      <c r="I220" s="63"/>
      <c r="J220" s="63"/>
      <c r="K220" s="420"/>
      <c r="L220" s="420"/>
      <c r="M220" s="420"/>
      <c r="N220" s="420"/>
      <c r="O220" s="87"/>
      <c r="P220" s="87"/>
      <c r="AA220" s="10"/>
    </row>
    <row r="221" spans="1:27" ht="16.899999999999999" customHeight="1" x14ac:dyDescent="0.2">
      <c r="A221" s="10"/>
      <c r="C221" s="53"/>
      <c r="D221" s="21"/>
      <c r="E221" s="21"/>
      <c r="F221" s="21"/>
      <c r="G221" s="21"/>
      <c r="H221" s="96"/>
      <c r="I221" s="63"/>
      <c r="J221" s="63"/>
      <c r="K221" s="420"/>
      <c r="L221" s="420"/>
      <c r="M221" s="420"/>
      <c r="N221" s="420"/>
      <c r="O221" s="87"/>
      <c r="P221" s="87"/>
      <c r="AA221" s="10"/>
    </row>
    <row r="222" spans="1:27" ht="16.899999999999999" customHeight="1" x14ac:dyDescent="0.2">
      <c r="A222" s="10"/>
      <c r="C222" s="53"/>
      <c r="D222" s="21"/>
      <c r="E222" s="21"/>
      <c r="F222" s="21"/>
      <c r="G222" s="21"/>
      <c r="H222" s="96"/>
      <c r="I222" s="63"/>
      <c r="J222" s="63"/>
      <c r="K222" s="420"/>
      <c r="L222" s="420"/>
      <c r="M222" s="420"/>
      <c r="N222" s="420"/>
      <c r="O222" s="87"/>
      <c r="P222" s="87"/>
      <c r="AA222" s="10"/>
    </row>
    <row r="223" spans="1:27" ht="16.899999999999999" customHeight="1" x14ac:dyDescent="0.2">
      <c r="A223" s="10"/>
      <c r="C223" s="53"/>
      <c r="D223" s="21"/>
      <c r="E223" s="21"/>
      <c r="F223" s="21"/>
      <c r="G223" s="21"/>
      <c r="H223" s="96"/>
      <c r="I223" s="63"/>
      <c r="J223" s="63"/>
      <c r="K223" s="420"/>
      <c r="L223" s="420"/>
      <c r="M223" s="420"/>
      <c r="N223" s="420"/>
      <c r="O223" s="87"/>
      <c r="P223" s="87"/>
      <c r="AA223" s="10"/>
    </row>
    <row r="224" spans="1:27" ht="16.899999999999999" customHeight="1" x14ac:dyDescent="0.2">
      <c r="A224" s="10"/>
      <c r="C224" s="53"/>
      <c r="D224" s="21"/>
      <c r="E224" s="21"/>
      <c r="F224" s="21"/>
      <c r="G224" s="21"/>
      <c r="H224" s="96"/>
      <c r="I224" s="63"/>
      <c r="J224" s="63"/>
      <c r="K224" s="420"/>
      <c r="L224" s="420"/>
      <c r="M224" s="420"/>
      <c r="N224" s="420"/>
      <c r="O224" s="87"/>
      <c r="P224" s="87"/>
      <c r="AA224" s="10"/>
    </row>
    <row r="225" spans="1:26" s="7" customFormat="1" ht="16.899999999999999" customHeight="1" x14ac:dyDescent="0.2">
      <c r="A225" s="1"/>
      <c r="B225" s="2"/>
      <c r="C225" s="59"/>
      <c r="D225" s="60"/>
      <c r="E225" s="60"/>
      <c r="F225" s="60"/>
      <c r="G225" s="60"/>
      <c r="H225" s="193"/>
      <c r="I225" s="61"/>
      <c r="J225" s="61"/>
      <c r="K225" s="3"/>
      <c r="L225" s="3"/>
      <c r="M225" s="3"/>
      <c r="N225" s="3"/>
      <c r="O225" s="82"/>
      <c r="P225" s="82"/>
      <c r="Q225" s="82"/>
      <c r="R225" s="82"/>
      <c r="S225" s="82"/>
      <c r="T225" s="82"/>
      <c r="U225" s="82"/>
      <c r="V225" s="82"/>
      <c r="W225" s="82"/>
      <c r="X225" s="82"/>
      <c r="Y225" s="82"/>
      <c r="Z225" s="82"/>
    </row>
  </sheetData>
  <mergeCells count="142">
    <mergeCell ref="P126:P127"/>
    <mergeCell ref="Q126:Q127"/>
    <mergeCell ref="N103:N104"/>
    <mergeCell ref="O103:O104"/>
    <mergeCell ref="P103:P104"/>
    <mergeCell ref="Q103:Q104"/>
    <mergeCell ref="B126:G126"/>
    <mergeCell ref="L126:L127"/>
    <mergeCell ref="M126:M127"/>
    <mergeCell ref="K121:K124"/>
    <mergeCell ref="J122:J124"/>
    <mergeCell ref="J126:J127"/>
    <mergeCell ref="K126:K127"/>
    <mergeCell ref="I118:I120"/>
    <mergeCell ref="I122:I124"/>
    <mergeCell ref="K117:K120"/>
    <mergeCell ref="J118:J120"/>
    <mergeCell ref="I114:I116"/>
    <mergeCell ref="J100:J101"/>
    <mergeCell ref="K105:K108"/>
    <mergeCell ref="J106:J108"/>
    <mergeCell ref="K109:K112"/>
    <mergeCell ref="J110:J112"/>
    <mergeCell ref="O76:O77"/>
    <mergeCell ref="A152:D152"/>
    <mergeCell ref="N126:N127"/>
    <mergeCell ref="O126:O127"/>
    <mergeCell ref="K138:K142"/>
    <mergeCell ref="J139:J142"/>
    <mergeCell ref="K128:K134"/>
    <mergeCell ref="J129:J134"/>
    <mergeCell ref="K135:K137"/>
    <mergeCell ref="J136:J137"/>
    <mergeCell ref="B103:G103"/>
    <mergeCell ref="I103:I104"/>
    <mergeCell ref="J103:J104"/>
    <mergeCell ref="K103:K104"/>
    <mergeCell ref="L103:L104"/>
    <mergeCell ref="M103:M104"/>
    <mergeCell ref="K99:K101"/>
    <mergeCell ref="K96:K98"/>
    <mergeCell ref="J97:J98"/>
    <mergeCell ref="B76:G76"/>
    <mergeCell ref="I76:I77"/>
    <mergeCell ref="J76:J77"/>
    <mergeCell ref="K76:K77"/>
    <mergeCell ref="L76:L77"/>
    <mergeCell ref="M76:M77"/>
    <mergeCell ref="P76:P77"/>
    <mergeCell ref="Q76:Q77"/>
    <mergeCell ref="N76:N77"/>
    <mergeCell ref="Q43:Q44"/>
    <mergeCell ref="B59:G59"/>
    <mergeCell ref="I59:I60"/>
    <mergeCell ref="J59:J60"/>
    <mergeCell ref="K59:K60"/>
    <mergeCell ref="L59:L60"/>
    <mergeCell ref="M59:M60"/>
    <mergeCell ref="B43:G43"/>
    <mergeCell ref="I43:I44"/>
    <mergeCell ref="J43:J44"/>
    <mergeCell ref="K43:K44"/>
    <mergeCell ref="L43:L44"/>
    <mergeCell ref="M43:M44"/>
    <mergeCell ref="K48:K50"/>
    <mergeCell ref="J49:J50"/>
    <mergeCell ref="K51:K54"/>
    <mergeCell ref="J52:J54"/>
    <mergeCell ref="K55:K57"/>
    <mergeCell ref="N59:N60"/>
    <mergeCell ref="O59:O60"/>
    <mergeCell ref="P59:P60"/>
    <mergeCell ref="Q59:Q60"/>
    <mergeCell ref="K69:K74"/>
    <mergeCell ref="J70:J74"/>
    <mergeCell ref="K78:K80"/>
    <mergeCell ref="J79:J80"/>
    <mergeCell ref="K45:K47"/>
    <mergeCell ref="J46:J47"/>
    <mergeCell ref="N43:N44"/>
    <mergeCell ref="O43:O44"/>
    <mergeCell ref="P43:P44"/>
    <mergeCell ref="J12:J13"/>
    <mergeCell ref="K14:K19"/>
    <mergeCell ref="J15:J19"/>
    <mergeCell ref="K20:K24"/>
    <mergeCell ref="J21:J24"/>
    <mergeCell ref="K25:K29"/>
    <mergeCell ref="J26:J29"/>
    <mergeCell ref="B9:G9"/>
    <mergeCell ref="J9:J10"/>
    <mergeCell ref="I21:I24"/>
    <mergeCell ref="I26:I29"/>
    <mergeCell ref="I15:I19"/>
    <mergeCell ref="I31:I40"/>
    <mergeCell ref="I46:I47"/>
    <mergeCell ref="I49:I50"/>
    <mergeCell ref="I52:I54"/>
    <mergeCell ref="K90:K92"/>
    <mergeCell ref="J91:J92"/>
    <mergeCell ref="K93:K95"/>
    <mergeCell ref="J94:J95"/>
    <mergeCell ref="K81:K83"/>
    <mergeCell ref="J82:J83"/>
    <mergeCell ref="K84:K86"/>
    <mergeCell ref="J85:J86"/>
    <mergeCell ref="I82:I83"/>
    <mergeCell ref="I85:I86"/>
    <mergeCell ref="I88:I89"/>
    <mergeCell ref="I91:I92"/>
    <mergeCell ref="I94:I95"/>
    <mergeCell ref="I62:I68"/>
    <mergeCell ref="I70:I74"/>
    <mergeCell ref="I79:I80"/>
    <mergeCell ref="K87:K89"/>
    <mergeCell ref="J88:J89"/>
    <mergeCell ref="K61:K68"/>
    <mergeCell ref="J62:J68"/>
    <mergeCell ref="I97:I98"/>
    <mergeCell ref="I100:I101"/>
    <mergeCell ref="I106:I108"/>
    <mergeCell ref="I110:I112"/>
    <mergeCell ref="I129:I134"/>
    <mergeCell ref="I136:I137"/>
    <mergeCell ref="I139:I142"/>
    <mergeCell ref="I126:I127"/>
    <mergeCell ref="Q9:Q10"/>
    <mergeCell ref="I56:I57"/>
    <mergeCell ref="J56:J57"/>
    <mergeCell ref="K9:K10"/>
    <mergeCell ref="L9:L10"/>
    <mergeCell ref="M9:M10"/>
    <mergeCell ref="N9:N10"/>
    <mergeCell ref="O9:O10"/>
    <mergeCell ref="P9:P10"/>
    <mergeCell ref="K11:K13"/>
    <mergeCell ref="K30:K40"/>
    <mergeCell ref="J31:J40"/>
    <mergeCell ref="K113:K116"/>
    <mergeCell ref="J114:J116"/>
    <mergeCell ref="I9:I10"/>
    <mergeCell ref="I12:I13"/>
  </mergeCells>
  <phoneticPr fontId="8" type="noConversion"/>
  <printOptions horizontalCentered="1"/>
  <pageMargins left="0.1" right="0.1" top="0.5" bottom="0.5" header="0.25" footer="0.25"/>
  <headerFooter alignWithMargins="0"/>
  <rowBreaks count="5" manualBreakCount="5">
    <brk id="41" max="9" man="1"/>
    <brk id="57" max="16383" man="1"/>
    <brk id="74" max="9" man="1"/>
    <brk id="101" max="16383" man="1"/>
    <brk id="124" max="16383" man="1"/>
  </rowBreaks>
  <ignoredErrors>
    <ignoredError sqref="B73" formulaRange="1"/>
  </ignoredErrors>
  <drawing r:id="rId1"/>
  <legacyDrawing r:id="rId2"/>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3399"/>
  </sheetPr>
  <dimension ref="A1:AZ30"/>
  <sheetViews>
    <sheetView zoomScaleSheetLayoutView="100" workbookViewId="0">
      <pane xSplit="1" ySplit="5" topLeftCell="B6" activePane="bottomRight" state="frozen"/>
      <selection pane="topRight" activeCell="B1" sqref="B1"/>
      <selection pane="bottomLeft" activeCell="A5" sqref="A5"/>
      <selection pane="bottomRight" activeCell="D8" sqref="D8"/>
    </sheetView>
  </sheetViews>
  <sheetFormatPr defaultColWidth="9.140625" defaultRowHeight="16.5" customHeight="1" x14ac:dyDescent="0.2"/>
  <cols>
    <col min="1" max="1" width="25.5703125" style="325" bestFit="1" customWidth="1"/>
    <col min="2" max="2" width="8.85546875" style="325" customWidth="1"/>
    <col min="3" max="3" width="7.140625" style="325" customWidth="1"/>
    <col min="4" max="4" width="7.42578125" style="325" bestFit="1" customWidth="1"/>
    <col min="5" max="5" width="7.140625" style="325" bestFit="1" customWidth="1"/>
    <col min="6" max="6" width="7.42578125" style="325" bestFit="1" customWidth="1"/>
    <col min="7" max="7" width="6" style="325" bestFit="1" customWidth="1"/>
    <col min="8" max="8" width="8.42578125" style="325" customWidth="1"/>
    <col min="9" max="9" width="7.42578125" style="325" bestFit="1" customWidth="1"/>
    <col min="10" max="10" width="6.42578125" style="325" customWidth="1"/>
    <col min="11" max="11" width="6" style="325" bestFit="1" customWidth="1"/>
    <col min="12" max="12" width="6.42578125" style="325" bestFit="1" customWidth="1"/>
    <col min="13" max="13" width="6" style="325" bestFit="1" customWidth="1"/>
    <col min="14" max="14" width="6" style="325" customWidth="1"/>
    <col min="15" max="15" width="6.140625" style="325" customWidth="1"/>
    <col min="16" max="16" width="6.140625" style="325" bestFit="1" customWidth="1"/>
    <col min="17" max="17" width="7.140625" style="51" bestFit="1" customWidth="1"/>
    <col min="18" max="18" width="7.85546875" style="325" bestFit="1" customWidth="1"/>
    <col min="19" max="20" width="7.42578125" style="325" bestFit="1" customWidth="1"/>
    <col min="21" max="21" width="6.42578125" style="325" bestFit="1" customWidth="1"/>
    <col min="22" max="22" width="7.42578125" style="325" bestFit="1" customWidth="1"/>
    <col min="23" max="23" width="7.5703125" style="325" bestFit="1" customWidth="1"/>
    <col min="24" max="25" width="6.42578125" style="325" bestFit="1" customWidth="1"/>
    <col min="26" max="45" width="8.5703125" style="309" customWidth="1"/>
    <col min="46" max="256" width="8.5703125" style="346" customWidth="1"/>
    <col min="257" max="16384" width="9.140625" style="346"/>
  </cols>
  <sheetData>
    <row r="1" spans="1:52" s="45" customFormat="1" ht="16.5" customHeight="1" x14ac:dyDescent="0.2">
      <c r="A1" s="43"/>
      <c r="B1" s="43"/>
      <c r="C1" s="43"/>
      <c r="D1" s="43"/>
      <c r="E1" s="43"/>
      <c r="F1" s="43"/>
      <c r="G1" s="43"/>
      <c r="H1" s="43"/>
      <c r="I1" s="43"/>
      <c r="J1" s="43"/>
      <c r="K1" s="43"/>
      <c r="L1" s="43"/>
      <c r="M1" s="43"/>
      <c r="N1" s="43"/>
      <c r="O1" s="43"/>
      <c r="P1" s="43"/>
      <c r="Q1" s="30"/>
      <c r="R1" s="43"/>
      <c r="S1" s="43"/>
      <c r="T1" s="43"/>
      <c r="U1" s="43"/>
      <c r="V1" s="43"/>
      <c r="W1" s="43"/>
      <c r="X1" s="43"/>
      <c r="Y1" s="43"/>
      <c r="Z1" s="208" t="s">
        <v>1075</v>
      </c>
      <c r="AA1" s="208" t="s">
        <v>1075</v>
      </c>
      <c r="AB1" s="208" t="s">
        <v>1075</v>
      </c>
      <c r="AC1" s="208" t="s">
        <v>1075</v>
      </c>
      <c r="AD1" s="208" t="s">
        <v>1075</v>
      </c>
      <c r="AE1" s="208" t="s">
        <v>1075</v>
      </c>
      <c r="AF1" s="208" t="s">
        <v>1075</v>
      </c>
      <c r="AG1" s="208" t="s">
        <v>1075</v>
      </c>
      <c r="AH1" s="208" t="s">
        <v>1075</v>
      </c>
      <c r="AI1" s="208" t="s">
        <v>1075</v>
      </c>
      <c r="AJ1" s="208" t="s">
        <v>1075</v>
      </c>
      <c r="AK1" s="208" t="s">
        <v>1075</v>
      </c>
      <c r="AL1" s="208" t="s">
        <v>1075</v>
      </c>
      <c r="AM1" s="208" t="s">
        <v>1075</v>
      </c>
      <c r="AN1" s="208" t="s">
        <v>1075</v>
      </c>
      <c r="AO1" s="208" t="s">
        <v>1075</v>
      </c>
      <c r="AP1" s="208" t="s">
        <v>1075</v>
      </c>
      <c r="AQ1" s="208" t="s">
        <v>1075</v>
      </c>
      <c r="AR1" s="208" t="s">
        <v>1075</v>
      </c>
      <c r="AS1" s="208" t="s">
        <v>1075</v>
      </c>
      <c r="AT1" s="208" t="s">
        <v>1075</v>
      </c>
      <c r="AU1" s="208" t="s">
        <v>1075</v>
      </c>
      <c r="AV1" s="208" t="s">
        <v>1075</v>
      </c>
      <c r="AW1" s="208" t="s">
        <v>1075</v>
      </c>
      <c r="AX1" s="208" t="s">
        <v>1075</v>
      </c>
      <c r="AY1" s="208" t="s">
        <v>1075</v>
      </c>
      <c r="AZ1" s="208" t="s">
        <v>1075</v>
      </c>
    </row>
    <row r="2" spans="1:52" s="879" customFormat="1" ht="16.5" customHeight="1" x14ac:dyDescent="0.2">
      <c r="A2" s="878" t="s">
        <v>377</v>
      </c>
      <c r="V2" s="880"/>
    </row>
    <row r="3" spans="1:52" s="603" customFormat="1" ht="16.5" customHeight="1" x14ac:dyDescent="0.2">
      <c r="A3" s="334" t="s">
        <v>378</v>
      </c>
      <c r="B3" s="608">
        <f>'Financial Ratios'!G10</f>
        <v>2015</v>
      </c>
      <c r="V3" s="604"/>
    </row>
    <row r="4" spans="1:52" s="603" customFormat="1" ht="16.5" customHeight="1" x14ac:dyDescent="0.2">
      <c r="A4" s="334" t="s">
        <v>379</v>
      </c>
      <c r="B4" s="1259">
        <v>448140</v>
      </c>
      <c r="D4" s="335"/>
      <c r="V4" s="604"/>
    </row>
    <row r="5" spans="1:52" s="345" customFormat="1" ht="54" customHeight="1" x14ac:dyDescent="0.25">
      <c r="A5" s="343" t="s">
        <v>380</v>
      </c>
      <c r="B5" s="343" t="s">
        <v>383</v>
      </c>
      <c r="C5" s="343" t="s">
        <v>384</v>
      </c>
      <c r="D5" s="343" t="s">
        <v>393</v>
      </c>
      <c r="E5" s="343" t="s">
        <v>392</v>
      </c>
      <c r="F5" s="343" t="s">
        <v>385</v>
      </c>
      <c r="G5" s="343" t="s">
        <v>391</v>
      </c>
      <c r="H5" s="343" t="s">
        <v>390</v>
      </c>
      <c r="I5" s="343" t="s">
        <v>386</v>
      </c>
      <c r="J5" s="343" t="s">
        <v>387</v>
      </c>
      <c r="K5" s="343" t="s">
        <v>388</v>
      </c>
      <c r="L5" s="343" t="s">
        <v>1060</v>
      </c>
      <c r="M5" s="343" t="s">
        <v>52</v>
      </c>
      <c r="N5" s="343" t="s">
        <v>389</v>
      </c>
      <c r="O5" s="343" t="s">
        <v>399</v>
      </c>
      <c r="P5" s="343" t="s">
        <v>401</v>
      </c>
      <c r="Q5" s="343" t="s">
        <v>394</v>
      </c>
      <c r="R5" s="343" t="s">
        <v>143</v>
      </c>
      <c r="S5" s="343" t="s">
        <v>54</v>
      </c>
      <c r="T5" s="343" t="s">
        <v>514</v>
      </c>
      <c r="U5" s="343" t="s">
        <v>515</v>
      </c>
      <c r="V5" s="344" t="s">
        <v>56</v>
      </c>
      <c r="W5" s="343" t="s">
        <v>410</v>
      </c>
      <c r="X5" s="343" t="s">
        <v>358</v>
      </c>
      <c r="Y5" s="343" t="s">
        <v>57</v>
      </c>
      <c r="Z5" s="606"/>
      <c r="AA5" s="606"/>
      <c r="AB5" s="606"/>
      <c r="AC5" s="606"/>
      <c r="AD5" s="606"/>
      <c r="AE5" s="606"/>
      <c r="AF5" s="606"/>
      <c r="AG5" s="606"/>
      <c r="AH5" s="606"/>
      <c r="AI5" s="606"/>
      <c r="AJ5" s="606"/>
      <c r="AK5" s="606"/>
      <c r="AL5" s="606"/>
      <c r="AM5" s="606"/>
      <c r="AN5" s="606"/>
      <c r="AO5" s="606"/>
      <c r="AP5" s="606"/>
      <c r="AQ5" s="606"/>
      <c r="AR5" s="606"/>
      <c r="AS5" s="606"/>
    </row>
    <row r="6" spans="1:52" s="339" customFormat="1" ht="16.5" customHeight="1" x14ac:dyDescent="0.2">
      <c r="A6" s="339" t="s">
        <v>382</v>
      </c>
      <c r="B6" s="694">
        <v>2</v>
      </c>
      <c r="C6" s="340">
        <v>0.8</v>
      </c>
      <c r="D6" s="876">
        <v>10.6</v>
      </c>
      <c r="E6" s="877">
        <f>AVERAGE(E7:E12)</f>
        <v>103.44935898169454</v>
      </c>
      <c r="F6" s="876">
        <v>63.83</v>
      </c>
      <c r="G6" s="342">
        <v>1.1100000000000001</v>
      </c>
      <c r="H6" s="342">
        <v>1.0900000000000001</v>
      </c>
      <c r="I6" s="340">
        <v>10.6</v>
      </c>
      <c r="J6" s="876">
        <v>0.41</v>
      </c>
      <c r="K6" s="341">
        <v>5.8000000000000003E-2</v>
      </c>
      <c r="L6" s="341">
        <v>0.14899999999999999</v>
      </c>
      <c r="M6" s="341">
        <v>0.41599999999999998</v>
      </c>
      <c r="N6" s="341">
        <v>0.33300000000000002</v>
      </c>
      <c r="O6" s="1239">
        <v>0</v>
      </c>
      <c r="P6" s="1239">
        <v>3.3000000000000002E-2</v>
      </c>
      <c r="Q6" s="876">
        <v>0</v>
      </c>
      <c r="R6" s="341">
        <v>6.7000000000000004E-2</v>
      </c>
      <c r="S6" s="1239">
        <v>4.2999999999999997E-2</v>
      </c>
      <c r="T6" s="341">
        <v>3.1E-2</v>
      </c>
      <c r="U6" s="876">
        <v>0</v>
      </c>
      <c r="V6" s="340">
        <v>3.7</v>
      </c>
      <c r="W6" s="876">
        <v>5.5</v>
      </c>
      <c r="X6" s="340">
        <v>3.8</v>
      </c>
      <c r="Y6" s="340">
        <v>1.52</v>
      </c>
      <c r="Z6" s="607"/>
      <c r="AA6" s="607"/>
      <c r="AB6" s="607"/>
      <c r="AC6" s="607"/>
      <c r="AD6" s="607"/>
      <c r="AE6" s="607"/>
      <c r="AF6" s="607"/>
      <c r="AG6" s="607"/>
      <c r="AH6" s="607"/>
      <c r="AI6" s="607"/>
      <c r="AJ6" s="607"/>
      <c r="AK6" s="607"/>
      <c r="AL6" s="607"/>
      <c r="AM6" s="607"/>
      <c r="AN6" s="607"/>
      <c r="AO6" s="607"/>
      <c r="AP6" s="607"/>
      <c r="AQ6" s="607"/>
      <c r="AR6" s="607"/>
      <c r="AS6" s="607"/>
    </row>
    <row r="7" spans="1:52" s="326" customFormat="1" ht="16.5" customHeight="1" x14ac:dyDescent="0.2">
      <c r="A7" s="333" t="s">
        <v>1080</v>
      </c>
      <c r="B7" s="330">
        <v>1.87</v>
      </c>
      <c r="C7" s="330">
        <v>1.1200000000000001</v>
      </c>
      <c r="D7" s="876">
        <v>31</v>
      </c>
      <c r="E7" s="327">
        <f>360/V7</f>
        <v>69.902912621359221</v>
      </c>
      <c r="F7" s="876">
        <v>100</v>
      </c>
      <c r="G7" s="332">
        <v>1.28</v>
      </c>
      <c r="H7" s="332">
        <v>1.28</v>
      </c>
      <c r="I7" s="330">
        <v>9.59</v>
      </c>
      <c r="J7" s="876">
        <v>0.36</v>
      </c>
      <c r="K7" s="331">
        <v>8.1000000000000003E-2</v>
      </c>
      <c r="L7" s="331">
        <v>0.31950000000000001</v>
      </c>
      <c r="M7" s="331">
        <v>0.37759999999999999</v>
      </c>
      <c r="N7" s="331">
        <v>0.2797</v>
      </c>
      <c r="O7" s="1240">
        <v>0</v>
      </c>
      <c r="P7" s="1240">
        <v>1.44E-2</v>
      </c>
      <c r="Q7" s="876">
        <v>0</v>
      </c>
      <c r="R7" s="331">
        <v>9.8000000000000004E-2</v>
      </c>
      <c r="S7" s="1240">
        <v>6.9000000000000006E-2</v>
      </c>
      <c r="T7" s="331">
        <v>5.33E-2</v>
      </c>
      <c r="U7" s="876">
        <v>0</v>
      </c>
      <c r="V7" s="330">
        <v>5.15</v>
      </c>
      <c r="W7" s="876">
        <v>8.1</v>
      </c>
      <c r="X7" s="330">
        <v>4.3099999999999996</v>
      </c>
      <c r="Y7" s="330">
        <v>1.52</v>
      </c>
      <c r="Z7" s="145"/>
      <c r="AA7" s="145"/>
      <c r="AB7" s="145"/>
      <c r="AC7" s="145"/>
      <c r="AD7" s="145"/>
      <c r="AE7" s="145"/>
      <c r="AF7" s="145"/>
      <c r="AG7" s="145"/>
      <c r="AH7" s="145"/>
      <c r="AI7" s="145"/>
      <c r="AJ7" s="145"/>
      <c r="AK7" s="145"/>
      <c r="AL7" s="145"/>
      <c r="AM7" s="145"/>
      <c r="AN7" s="145"/>
      <c r="AO7" s="145"/>
      <c r="AP7" s="145"/>
      <c r="AQ7" s="145"/>
      <c r="AR7" s="145"/>
      <c r="AS7" s="145"/>
    </row>
    <row r="8" spans="1:52" s="326" customFormat="1" ht="16.5" customHeight="1" x14ac:dyDescent="0.2">
      <c r="A8" s="333" t="s">
        <v>1083</v>
      </c>
      <c r="B8" s="330">
        <v>1.93</v>
      </c>
      <c r="C8" s="330">
        <v>0.8</v>
      </c>
      <c r="D8" s="876">
        <v>6</v>
      </c>
      <c r="E8" s="327">
        <f t="shared" ref="E8:E12" si="0">360/V8</f>
        <v>67.669172932330824</v>
      </c>
      <c r="F8" s="876">
        <v>56</v>
      </c>
      <c r="G8" s="332">
        <v>0.45</v>
      </c>
      <c r="H8" s="332">
        <v>0.45</v>
      </c>
      <c r="I8" s="330">
        <v>29.76</v>
      </c>
      <c r="J8" s="876">
        <v>0.67</v>
      </c>
      <c r="K8" s="331">
        <v>0.16300000000000001</v>
      </c>
      <c r="L8" s="331">
        <v>0.41870000000000002</v>
      </c>
      <c r="M8" s="331">
        <v>0.38269999999999998</v>
      </c>
      <c r="N8" s="331">
        <v>0.2656</v>
      </c>
      <c r="O8" s="1240">
        <v>0</v>
      </c>
      <c r="P8" s="1240">
        <v>3.8899999999999997E-2</v>
      </c>
      <c r="Q8" s="876">
        <v>0</v>
      </c>
      <c r="R8" s="331">
        <v>0.127</v>
      </c>
      <c r="S8" s="1240">
        <v>9.2999999999999999E-2</v>
      </c>
      <c r="T8" s="331">
        <v>7.6799999999999993E-2</v>
      </c>
      <c r="U8" s="876">
        <v>0</v>
      </c>
      <c r="V8" s="330">
        <v>5.32</v>
      </c>
      <c r="W8" s="876">
        <v>7.55</v>
      </c>
      <c r="X8" s="330">
        <v>6</v>
      </c>
      <c r="Y8" s="330">
        <v>2.12</v>
      </c>
      <c r="Z8" s="145"/>
      <c r="AA8" s="145"/>
      <c r="AB8" s="145"/>
      <c r="AC8" s="145"/>
      <c r="AD8" s="145"/>
      <c r="AE8" s="145"/>
      <c r="AF8" s="145"/>
      <c r="AG8" s="145"/>
      <c r="AH8" s="145"/>
      <c r="AI8" s="145"/>
      <c r="AJ8" s="145"/>
      <c r="AK8" s="145"/>
      <c r="AL8" s="145"/>
      <c r="AM8" s="145"/>
      <c r="AN8" s="145"/>
      <c r="AO8" s="145"/>
      <c r="AP8" s="145"/>
      <c r="AQ8" s="145"/>
      <c r="AR8" s="145"/>
      <c r="AS8" s="145"/>
    </row>
    <row r="9" spans="1:52" s="326" customFormat="1" ht="16.5" customHeight="1" x14ac:dyDescent="0.2">
      <c r="A9" s="333" t="s">
        <v>1086</v>
      </c>
      <c r="B9" s="330">
        <v>2.4</v>
      </c>
      <c r="C9" s="330">
        <v>1.1599999999999999</v>
      </c>
      <c r="D9" s="876">
        <v>6</v>
      </c>
      <c r="E9" s="327">
        <f t="shared" si="0"/>
        <v>124.5674740484429</v>
      </c>
      <c r="F9" s="876">
        <v>46</v>
      </c>
      <c r="G9" s="332">
        <v>0.25</v>
      </c>
      <c r="H9" s="332">
        <v>0.25</v>
      </c>
      <c r="I9" s="330">
        <v>7.9</v>
      </c>
      <c r="J9" s="876">
        <v>0.51</v>
      </c>
      <c r="K9" s="331">
        <v>1.9E-2</v>
      </c>
      <c r="L9" s="331">
        <v>3.3300000000000003E-2</v>
      </c>
      <c r="M9" s="331">
        <v>0.6179</v>
      </c>
      <c r="N9" s="331">
        <v>0.57750000000000001</v>
      </c>
      <c r="O9" s="1240">
        <v>0</v>
      </c>
      <c r="P9" s="1240">
        <v>2.2599999999999999E-2</v>
      </c>
      <c r="Q9" s="876">
        <v>0</v>
      </c>
      <c r="R9" s="331">
        <v>0.03</v>
      </c>
      <c r="S9" s="1240">
        <v>4.1000000000000002E-2</v>
      </c>
      <c r="T9" s="331">
        <v>1.38E-2</v>
      </c>
      <c r="U9" s="876">
        <v>0</v>
      </c>
      <c r="V9" s="330">
        <v>2.89</v>
      </c>
      <c r="W9" s="876">
        <v>1.43</v>
      </c>
      <c r="X9" s="330">
        <v>3.6</v>
      </c>
      <c r="Y9" s="330">
        <v>1.4</v>
      </c>
      <c r="Z9" s="145"/>
      <c r="AA9" s="145"/>
      <c r="AB9" s="145"/>
      <c r="AC9" s="145"/>
      <c r="AD9" s="145"/>
      <c r="AE9" s="145"/>
      <c r="AF9" s="145"/>
      <c r="AG9" s="145"/>
      <c r="AH9" s="145"/>
      <c r="AI9" s="145"/>
      <c r="AJ9" s="145"/>
      <c r="AK9" s="145"/>
      <c r="AL9" s="145"/>
      <c r="AM9" s="145"/>
      <c r="AN9" s="145"/>
      <c r="AO9" s="145"/>
      <c r="AP9" s="145"/>
      <c r="AQ9" s="145"/>
      <c r="AR9" s="145"/>
      <c r="AS9" s="145"/>
    </row>
    <row r="10" spans="1:52" s="326" customFormat="1" ht="16.5" customHeight="1" x14ac:dyDescent="0.2">
      <c r="A10" s="333" t="s">
        <v>1082</v>
      </c>
      <c r="B10" s="330">
        <v>2.13</v>
      </c>
      <c r="C10" s="330">
        <v>0.51</v>
      </c>
      <c r="D10" s="876">
        <v>3</v>
      </c>
      <c r="E10" s="327">
        <f t="shared" si="0"/>
        <v>114.64968152866241</v>
      </c>
      <c r="F10" s="876">
        <v>44</v>
      </c>
      <c r="G10" s="332">
        <v>0.45</v>
      </c>
      <c r="H10" s="332">
        <v>0.41</v>
      </c>
      <c r="I10" s="330">
        <v>9.23</v>
      </c>
      <c r="J10" s="876">
        <v>0.52</v>
      </c>
      <c r="K10" s="331">
        <v>8.1000000000000003E-2</v>
      </c>
      <c r="L10" s="331">
        <v>0.16589999999999999</v>
      </c>
      <c r="M10" s="331">
        <v>0.36980000000000002</v>
      </c>
      <c r="N10" s="1240">
        <v>0.24940000000000001</v>
      </c>
      <c r="O10" s="1240">
        <v>0</v>
      </c>
      <c r="P10" s="1240">
        <v>8.3000000000000001E-3</v>
      </c>
      <c r="Q10" s="876">
        <v>0</v>
      </c>
      <c r="R10" s="331">
        <v>8.3500000000000005E-2</v>
      </c>
      <c r="S10" s="1240">
        <v>6.2E-2</v>
      </c>
      <c r="T10" s="331">
        <v>4.8899999999999999E-2</v>
      </c>
      <c r="U10" s="876">
        <v>0</v>
      </c>
      <c r="V10" s="330">
        <v>3.14</v>
      </c>
      <c r="W10" s="876">
        <v>9.5399999999999991</v>
      </c>
      <c r="X10" s="330">
        <v>3.27</v>
      </c>
      <c r="Y10" s="330">
        <v>1.65</v>
      </c>
      <c r="Z10" s="145"/>
      <c r="AA10" s="145"/>
      <c r="AB10" s="145"/>
      <c r="AC10" s="145"/>
      <c r="AD10" s="145"/>
      <c r="AE10" s="145"/>
      <c r="AF10" s="145"/>
      <c r="AG10" s="145"/>
      <c r="AH10" s="145"/>
      <c r="AI10" s="145"/>
      <c r="AJ10" s="145"/>
      <c r="AK10" s="145"/>
      <c r="AL10" s="145"/>
      <c r="AM10" s="145"/>
      <c r="AN10" s="145"/>
      <c r="AO10" s="145"/>
      <c r="AP10" s="145"/>
      <c r="AQ10" s="145"/>
      <c r="AR10" s="145"/>
      <c r="AS10" s="145"/>
    </row>
    <row r="11" spans="1:52" s="326" customFormat="1" ht="16.5" customHeight="1" x14ac:dyDescent="0.2">
      <c r="A11" s="333" t="s">
        <v>1081</v>
      </c>
      <c r="B11" s="330">
        <v>1.57</v>
      </c>
      <c r="C11" s="330">
        <v>0.48</v>
      </c>
      <c r="D11" s="876">
        <v>7</v>
      </c>
      <c r="E11" s="327">
        <f t="shared" si="0"/>
        <v>118.03278688524591</v>
      </c>
      <c r="F11" s="876">
        <v>72</v>
      </c>
      <c r="G11" s="332">
        <v>1.37</v>
      </c>
      <c r="H11" s="332">
        <v>1.35</v>
      </c>
      <c r="I11" s="330">
        <v>7.12</v>
      </c>
      <c r="J11" s="876">
        <v>0.28000000000000003</v>
      </c>
      <c r="K11" s="331">
        <v>7.0999999999999994E-2</v>
      </c>
      <c r="L11" s="331">
        <v>0.26319999999999999</v>
      </c>
      <c r="M11" s="331">
        <v>0.4</v>
      </c>
      <c r="N11" s="331">
        <v>0.29730000000000001</v>
      </c>
      <c r="O11" s="1240">
        <v>0</v>
      </c>
      <c r="P11" s="1240">
        <v>4.19E-2</v>
      </c>
      <c r="Q11" s="876">
        <v>0</v>
      </c>
      <c r="R11" s="331">
        <v>9.9599999999999994E-2</v>
      </c>
      <c r="S11" s="1240">
        <v>0.03</v>
      </c>
      <c r="T11" s="331">
        <v>5.4300000000000001E-2</v>
      </c>
      <c r="U11" s="876">
        <v>0</v>
      </c>
      <c r="V11" s="330">
        <v>3.05</v>
      </c>
      <c r="W11" s="876">
        <v>0.91</v>
      </c>
      <c r="X11" s="330">
        <v>3.58</v>
      </c>
      <c r="Y11" s="330">
        <v>1.31</v>
      </c>
      <c r="Z11" s="145"/>
      <c r="AA11" s="145"/>
      <c r="AB11" s="145"/>
      <c r="AC11" s="145"/>
      <c r="AD11" s="145"/>
      <c r="AE11" s="145"/>
      <c r="AF11" s="145"/>
      <c r="AG11" s="145"/>
      <c r="AH11" s="145"/>
      <c r="AI11" s="145"/>
      <c r="AJ11" s="145"/>
      <c r="AK11" s="145"/>
      <c r="AL11" s="145"/>
      <c r="AM11" s="145"/>
      <c r="AN11" s="145"/>
      <c r="AO11" s="145"/>
      <c r="AP11" s="145"/>
      <c r="AQ11" s="145"/>
      <c r="AR11" s="145"/>
      <c r="AS11" s="145"/>
    </row>
    <row r="12" spans="1:52" s="326" customFormat="1" ht="16.5" customHeight="1" x14ac:dyDescent="0.2">
      <c r="A12" s="333" t="s">
        <v>1084</v>
      </c>
      <c r="B12" s="330">
        <v>1.93</v>
      </c>
      <c r="C12" s="330">
        <v>0.57999999999999996</v>
      </c>
      <c r="D12" s="876" t="s">
        <v>1085</v>
      </c>
      <c r="E12" s="327">
        <f t="shared" si="0"/>
        <v>125.87412587412588</v>
      </c>
      <c r="F12" s="876">
        <v>65</v>
      </c>
      <c r="G12" s="332">
        <v>2.83</v>
      </c>
      <c r="H12" s="332">
        <v>2.8</v>
      </c>
      <c r="I12" s="330">
        <v>-0.02</v>
      </c>
      <c r="J12" s="876">
        <v>0.09</v>
      </c>
      <c r="K12" s="331">
        <v>-6.9599999999999995E-2</v>
      </c>
      <c r="L12" s="331">
        <v>-0.30919999999999997</v>
      </c>
      <c r="M12" s="331">
        <v>0.34760000000000002</v>
      </c>
      <c r="N12" s="331">
        <v>0.32579999999999998</v>
      </c>
      <c r="O12" s="1240">
        <v>0</v>
      </c>
      <c r="P12" s="1240">
        <v>7.2300000000000003E-2</v>
      </c>
      <c r="Q12" s="876">
        <v>0</v>
      </c>
      <c r="R12" s="331">
        <v>-3.4700000000000002E-2</v>
      </c>
      <c r="S12" s="1240">
        <v>-3.9E-2</v>
      </c>
      <c r="T12" s="331">
        <v>-6.2899999999999998E-2</v>
      </c>
      <c r="U12" s="876">
        <v>0</v>
      </c>
      <c r="V12" s="330">
        <v>2.86</v>
      </c>
      <c r="W12" s="876">
        <v>5.53</v>
      </c>
      <c r="X12" s="330">
        <v>2.2799999999999998</v>
      </c>
      <c r="Y12" s="330">
        <v>1.1100000000000001</v>
      </c>
      <c r="Z12" s="145"/>
      <c r="AA12" s="145"/>
      <c r="AB12" s="145"/>
      <c r="AC12" s="145"/>
      <c r="AD12" s="145"/>
      <c r="AE12" s="145"/>
      <c r="AF12" s="145"/>
      <c r="AG12" s="145"/>
      <c r="AH12" s="145"/>
      <c r="AI12" s="145"/>
      <c r="AJ12" s="145"/>
      <c r="AK12" s="145"/>
      <c r="AL12" s="145"/>
      <c r="AM12" s="145"/>
      <c r="AN12" s="145"/>
      <c r="AO12" s="145"/>
      <c r="AP12" s="145"/>
      <c r="AQ12" s="145"/>
      <c r="AR12" s="145"/>
      <c r="AS12" s="145"/>
    </row>
    <row r="13" spans="1:52" s="326" customFormat="1" ht="16.5" customHeight="1" x14ac:dyDescent="0.2">
      <c r="A13" s="326" t="s">
        <v>381</v>
      </c>
      <c r="B13" s="271">
        <f>AVERAGE(B7:B12)</f>
        <v>1.9716666666666665</v>
      </c>
      <c r="C13" s="271">
        <f>AVERAGE(C7:C12)</f>
        <v>0.77500000000000002</v>
      </c>
      <c r="D13" s="271">
        <f>AVERAGE(D7:D11)</f>
        <v>10.6</v>
      </c>
      <c r="E13" s="327">
        <f t="shared" ref="E13:P13" si="1">AVERAGE(E7:E12)</f>
        <v>103.44935898169454</v>
      </c>
      <c r="F13" s="876">
        <f t="shared" si="1"/>
        <v>63.833333333333336</v>
      </c>
      <c r="G13" s="326">
        <f t="shared" si="1"/>
        <v>1.1050000000000002</v>
      </c>
      <c r="H13" s="326">
        <f t="shared" si="1"/>
        <v>1.0900000000000001</v>
      </c>
      <c r="I13" s="271">
        <f t="shared" si="1"/>
        <v>10.596666666666666</v>
      </c>
      <c r="J13" s="326">
        <f t="shared" si="1"/>
        <v>0.40499999999999997</v>
      </c>
      <c r="K13" s="328">
        <f t="shared" si="1"/>
        <v>5.7566666666666676E-2</v>
      </c>
      <c r="L13" s="328">
        <f t="shared" si="1"/>
        <v>0.14856666666666671</v>
      </c>
      <c r="M13" s="328">
        <f t="shared" si="1"/>
        <v>0.41593333333333332</v>
      </c>
      <c r="N13" s="328">
        <f t="shared" si="1"/>
        <v>0.33255000000000007</v>
      </c>
      <c r="O13" s="328">
        <f t="shared" si="1"/>
        <v>0</v>
      </c>
      <c r="P13" s="328">
        <f t="shared" si="1"/>
        <v>3.3066666666666668E-2</v>
      </c>
      <c r="Q13" s="876">
        <v>0</v>
      </c>
      <c r="R13" s="328">
        <f>AVERAGE(R7:R12)</f>
        <v>6.7233333333333339E-2</v>
      </c>
      <c r="S13" s="328">
        <f>AVERAGE(S7:S12)</f>
        <v>4.2666666666666679E-2</v>
      </c>
      <c r="T13" s="328">
        <f>AVERAGE(T7:T12)</f>
        <v>3.0699999999999995E-2</v>
      </c>
      <c r="U13" s="876">
        <v>0</v>
      </c>
      <c r="V13" s="271">
        <f>AVERAGE(V7:V12)</f>
        <v>3.7349999999999999</v>
      </c>
      <c r="W13" s="271">
        <f>AVERAGE(W7:W12)</f>
        <v>5.5099999999999989</v>
      </c>
      <c r="X13" s="271">
        <f>AVERAGE(X7:X12)</f>
        <v>3.84</v>
      </c>
      <c r="Y13" s="271">
        <f>AVERAGE(Y7:Y12)</f>
        <v>1.5183333333333333</v>
      </c>
      <c r="Z13" s="145"/>
      <c r="AA13" s="145"/>
      <c r="AB13" s="145"/>
      <c r="AC13" s="145"/>
      <c r="AD13" s="145"/>
      <c r="AE13" s="145"/>
      <c r="AF13" s="145"/>
      <c r="AG13" s="145"/>
      <c r="AH13" s="145"/>
      <c r="AI13" s="145"/>
      <c r="AJ13" s="145"/>
      <c r="AK13" s="145"/>
      <c r="AL13" s="145"/>
      <c r="AM13" s="145"/>
      <c r="AN13" s="145"/>
      <c r="AO13" s="145"/>
      <c r="AP13" s="145"/>
      <c r="AQ13" s="145"/>
      <c r="AR13" s="145"/>
      <c r="AS13" s="145"/>
    </row>
    <row r="14" spans="1:52" s="145" customFormat="1" ht="16.5" customHeight="1" x14ac:dyDescent="0.2">
      <c r="E14" s="605"/>
      <c r="F14" s="605"/>
      <c r="V14" s="337"/>
    </row>
    <row r="15" spans="1:52" s="309" customFormat="1" ht="16.5" customHeight="1" x14ac:dyDescent="0.2">
      <c r="A15" s="216"/>
      <c r="B15" s="1241" t="s">
        <v>1087</v>
      </c>
      <c r="C15" s="216"/>
      <c r="D15" s="216"/>
      <c r="E15" s="216"/>
      <c r="F15" s="216"/>
      <c r="G15" s="216"/>
      <c r="H15" s="216"/>
      <c r="I15" s="216"/>
      <c r="J15" s="216"/>
      <c r="K15" s="216"/>
      <c r="L15" s="216"/>
      <c r="M15" s="216"/>
      <c r="N15" s="216"/>
      <c r="O15" s="216"/>
      <c r="P15" s="216"/>
      <c r="Q15" s="214"/>
      <c r="R15" s="216"/>
      <c r="S15" s="216"/>
      <c r="T15" s="216"/>
      <c r="U15" s="216"/>
      <c r="V15" s="216"/>
      <c r="W15" s="216"/>
      <c r="X15" s="216"/>
      <c r="Y15" s="216"/>
    </row>
    <row r="16" spans="1:52" s="309" customFormat="1" ht="16.5" customHeight="1" x14ac:dyDescent="0.2">
      <c r="A16" s="216"/>
      <c r="B16" s="216"/>
      <c r="C16" s="216"/>
      <c r="D16" s="216"/>
      <c r="E16" s="216"/>
      <c r="F16" s="216"/>
      <c r="G16" s="216"/>
      <c r="H16" s="216"/>
      <c r="I16" s="216"/>
      <c r="J16" s="216"/>
      <c r="K16" s="216"/>
      <c r="L16" s="216"/>
      <c r="M16" s="216"/>
      <c r="N16" s="216"/>
      <c r="O16" s="216"/>
      <c r="P16" s="216"/>
      <c r="Q16" s="214"/>
      <c r="R16" s="216"/>
      <c r="S16" s="216"/>
      <c r="T16" s="216"/>
      <c r="U16" s="216"/>
      <c r="V16" s="216"/>
      <c r="W16" s="216"/>
      <c r="X16" s="216"/>
      <c r="Y16" s="216"/>
    </row>
    <row r="17" spans="1:25" s="309" customFormat="1" ht="16.5" customHeight="1" x14ac:dyDescent="0.2">
      <c r="A17" s="216"/>
      <c r="B17" s="216"/>
      <c r="C17" s="216"/>
      <c r="D17" s="216"/>
      <c r="E17" s="216"/>
      <c r="F17" s="216"/>
      <c r="G17" s="216"/>
      <c r="H17" s="216"/>
      <c r="I17" s="216"/>
      <c r="J17" s="216"/>
      <c r="K17" s="216"/>
      <c r="L17" s="216"/>
      <c r="M17" s="216"/>
      <c r="N17" s="216"/>
      <c r="O17" s="216"/>
      <c r="P17" s="216"/>
      <c r="Q17" s="214"/>
      <c r="R17" s="216"/>
      <c r="S17" s="216"/>
      <c r="T17" s="216"/>
      <c r="U17" s="216"/>
      <c r="V17" s="216"/>
      <c r="W17" s="216"/>
      <c r="X17" s="216"/>
      <c r="Y17" s="216"/>
    </row>
    <row r="18" spans="1:25" s="309" customFormat="1" ht="16.5" customHeight="1" x14ac:dyDescent="0.2">
      <c r="A18" s="216"/>
      <c r="B18" s="216"/>
      <c r="C18" s="216"/>
      <c r="D18" s="216"/>
      <c r="E18" s="216"/>
      <c r="F18" s="216"/>
      <c r="G18" s="216"/>
      <c r="H18" s="216"/>
      <c r="I18" s="216"/>
      <c r="J18" s="216"/>
      <c r="K18" s="216"/>
      <c r="L18" s="216"/>
      <c r="M18" s="216"/>
      <c r="N18" s="216"/>
      <c r="O18" s="216"/>
      <c r="P18" s="216"/>
      <c r="Q18" s="214"/>
      <c r="R18" s="216"/>
      <c r="S18" s="216"/>
      <c r="T18" s="216"/>
      <c r="U18" s="216"/>
      <c r="V18" s="216"/>
      <c r="W18" s="216"/>
      <c r="X18" s="216"/>
      <c r="Y18" s="216"/>
    </row>
    <row r="19" spans="1:25" s="309" customFormat="1" ht="16.5" customHeight="1" x14ac:dyDescent="0.2">
      <c r="A19" s="216"/>
      <c r="B19" s="216"/>
      <c r="C19" s="216"/>
      <c r="D19" s="216"/>
      <c r="E19" s="216"/>
      <c r="F19" s="216"/>
      <c r="G19" s="216"/>
      <c r="H19" s="216"/>
      <c r="I19" s="216"/>
      <c r="J19" s="216"/>
      <c r="K19" s="216"/>
      <c r="L19" s="216"/>
      <c r="M19" s="216"/>
      <c r="N19" s="216"/>
      <c r="O19" s="216"/>
      <c r="P19" s="216"/>
      <c r="Q19" s="214"/>
      <c r="R19" s="216"/>
      <c r="S19" s="216"/>
      <c r="T19" s="216"/>
      <c r="U19" s="216"/>
      <c r="V19" s="216"/>
      <c r="W19" s="216"/>
      <c r="X19" s="216"/>
      <c r="Y19" s="216"/>
    </row>
    <row r="20" spans="1:25" s="309" customFormat="1" ht="16.5" customHeight="1" x14ac:dyDescent="0.2">
      <c r="A20" s="216"/>
      <c r="B20" s="216"/>
      <c r="C20" s="216"/>
      <c r="D20" s="216"/>
      <c r="E20" s="216"/>
      <c r="F20" s="216"/>
      <c r="G20" s="216"/>
      <c r="H20" s="216"/>
      <c r="I20" s="216"/>
      <c r="J20" s="216"/>
      <c r="K20" s="216"/>
      <c r="L20" s="216"/>
      <c r="M20" s="216"/>
      <c r="N20" s="216"/>
      <c r="O20" s="216"/>
      <c r="P20" s="216"/>
      <c r="Q20" s="214"/>
      <c r="R20" s="216"/>
      <c r="S20" s="216"/>
      <c r="T20" s="216"/>
      <c r="U20" s="216"/>
      <c r="V20" s="216"/>
      <c r="W20" s="216"/>
      <c r="X20" s="216"/>
      <c r="Y20" s="216"/>
    </row>
    <row r="21" spans="1:25" s="309" customFormat="1" ht="16.5" customHeight="1" x14ac:dyDescent="0.2">
      <c r="A21" s="216"/>
      <c r="B21" s="216"/>
      <c r="C21" s="216"/>
      <c r="D21" s="216"/>
      <c r="E21" s="216"/>
      <c r="F21" s="216"/>
      <c r="G21" s="216"/>
      <c r="H21" s="216"/>
      <c r="I21" s="216"/>
      <c r="J21" s="216"/>
      <c r="K21" s="216"/>
      <c r="L21" s="216"/>
      <c r="M21" s="216"/>
      <c r="N21" s="216"/>
      <c r="O21" s="216"/>
      <c r="P21" s="216"/>
      <c r="Q21" s="214"/>
      <c r="R21" s="216"/>
      <c r="S21" s="216"/>
      <c r="T21" s="216"/>
      <c r="U21" s="216"/>
      <c r="V21" s="216"/>
      <c r="W21" s="216"/>
      <c r="X21" s="216"/>
      <c r="Y21" s="216"/>
    </row>
    <row r="22" spans="1:25" s="309" customFormat="1" ht="16.5" customHeight="1" x14ac:dyDescent="0.2">
      <c r="A22" s="216"/>
      <c r="B22" s="216"/>
      <c r="C22" s="216"/>
      <c r="D22" s="216"/>
      <c r="E22" s="216"/>
      <c r="F22" s="216"/>
      <c r="G22" s="216"/>
      <c r="H22" s="216"/>
      <c r="I22" s="216"/>
      <c r="J22" s="216"/>
      <c r="K22" s="216"/>
      <c r="L22" s="216"/>
      <c r="M22" s="216"/>
      <c r="N22" s="216"/>
      <c r="O22" s="216"/>
      <c r="P22" s="216"/>
      <c r="Q22" s="214"/>
      <c r="R22" s="216"/>
      <c r="S22" s="216"/>
      <c r="T22" s="216"/>
      <c r="U22" s="216"/>
      <c r="V22" s="216"/>
      <c r="W22" s="216"/>
      <c r="X22" s="216"/>
      <c r="Y22" s="216"/>
    </row>
    <row r="23" spans="1:25" s="309" customFormat="1" ht="16.5" customHeight="1" x14ac:dyDescent="0.2">
      <c r="A23" s="216"/>
      <c r="B23" s="216"/>
      <c r="C23" s="216"/>
      <c r="D23" s="216"/>
      <c r="E23" s="216"/>
      <c r="F23" s="216"/>
      <c r="G23" s="216"/>
      <c r="H23" s="216"/>
      <c r="I23" s="216"/>
      <c r="J23" s="216"/>
      <c r="K23" s="216"/>
      <c r="L23" s="216"/>
      <c r="M23" s="216"/>
      <c r="N23" s="216"/>
      <c r="O23" s="216"/>
      <c r="P23" s="216"/>
      <c r="Q23" s="214"/>
      <c r="R23" s="216"/>
      <c r="S23" s="216"/>
      <c r="T23" s="216"/>
      <c r="U23" s="216"/>
      <c r="V23" s="216"/>
      <c r="W23" s="216"/>
      <c r="X23" s="216"/>
      <c r="Y23" s="216"/>
    </row>
    <row r="24" spans="1:25" s="309" customFormat="1" ht="16.5" customHeight="1" x14ac:dyDescent="0.2">
      <c r="A24" s="216"/>
      <c r="B24" s="216"/>
      <c r="C24" s="216"/>
      <c r="D24" s="216"/>
      <c r="E24" s="216"/>
      <c r="F24" s="216"/>
      <c r="G24" s="216"/>
      <c r="H24" s="216"/>
      <c r="I24" s="216"/>
      <c r="J24" s="216"/>
      <c r="K24" s="216"/>
      <c r="L24" s="216"/>
      <c r="M24" s="216"/>
      <c r="N24" s="216"/>
      <c r="O24" s="216"/>
      <c r="P24" s="216"/>
      <c r="Q24" s="214"/>
      <c r="R24" s="216"/>
      <c r="S24" s="216"/>
      <c r="T24" s="216"/>
      <c r="U24" s="216"/>
      <c r="V24" s="216"/>
      <c r="W24" s="216"/>
      <c r="X24" s="216"/>
      <c r="Y24" s="216"/>
    </row>
    <row r="25" spans="1:25" s="309" customFormat="1" ht="16.5" customHeight="1" x14ac:dyDescent="0.2">
      <c r="A25" s="216"/>
      <c r="B25" s="216"/>
      <c r="C25" s="216"/>
      <c r="D25" s="216"/>
      <c r="E25" s="216"/>
      <c r="F25" s="216"/>
      <c r="G25" s="216"/>
      <c r="H25" s="216"/>
      <c r="I25" s="216"/>
      <c r="J25" s="216"/>
      <c r="K25" s="216"/>
      <c r="L25" s="216"/>
      <c r="M25" s="216"/>
      <c r="N25" s="216"/>
      <c r="O25" s="216"/>
      <c r="P25" s="216"/>
      <c r="Q25" s="214"/>
      <c r="R25" s="216"/>
      <c r="S25" s="216"/>
      <c r="T25" s="216"/>
      <c r="U25" s="216"/>
      <c r="V25" s="216"/>
      <c r="W25" s="216"/>
      <c r="X25" s="216"/>
      <c r="Y25" s="216"/>
    </row>
    <row r="26" spans="1:25" s="309" customFormat="1" ht="16.5" customHeight="1" x14ac:dyDescent="0.2">
      <c r="A26" s="216"/>
      <c r="B26" s="216"/>
      <c r="C26" s="216"/>
      <c r="D26" s="216"/>
      <c r="E26" s="216"/>
      <c r="F26" s="216"/>
      <c r="G26" s="216"/>
      <c r="H26" s="216"/>
      <c r="I26" s="216"/>
      <c r="J26" s="216"/>
      <c r="K26" s="216"/>
      <c r="L26" s="216"/>
      <c r="M26" s="216"/>
      <c r="N26" s="216"/>
      <c r="O26" s="216"/>
      <c r="P26" s="216"/>
      <c r="Q26" s="214"/>
      <c r="R26" s="216"/>
      <c r="S26" s="216"/>
      <c r="T26" s="216"/>
      <c r="U26" s="216"/>
      <c r="V26" s="216"/>
      <c r="W26" s="216"/>
      <c r="X26" s="216"/>
      <c r="Y26" s="216"/>
    </row>
    <row r="27" spans="1:25" s="309" customFormat="1" ht="16.5" customHeight="1" x14ac:dyDescent="0.2">
      <c r="A27" s="216"/>
      <c r="B27" s="216"/>
      <c r="C27" s="216"/>
      <c r="D27" s="216"/>
      <c r="E27" s="216"/>
      <c r="F27" s="216"/>
      <c r="G27" s="216"/>
      <c r="H27" s="216"/>
      <c r="I27" s="216"/>
      <c r="J27" s="216"/>
      <c r="K27" s="216"/>
      <c r="L27" s="216"/>
      <c r="M27" s="216"/>
      <c r="N27" s="216"/>
      <c r="O27" s="216"/>
      <c r="P27" s="216"/>
      <c r="Q27" s="214"/>
      <c r="R27" s="216"/>
      <c r="S27" s="216"/>
      <c r="T27" s="216"/>
      <c r="U27" s="216"/>
      <c r="V27" s="216"/>
      <c r="W27" s="216"/>
      <c r="X27" s="216"/>
      <c r="Y27" s="216"/>
    </row>
    <row r="28" spans="1:25" s="309" customFormat="1" ht="16.5" customHeight="1" x14ac:dyDescent="0.2">
      <c r="A28" s="216"/>
      <c r="B28" s="216"/>
      <c r="C28" s="216"/>
      <c r="D28" s="216"/>
      <c r="E28" s="216"/>
      <c r="F28" s="216"/>
      <c r="G28" s="216"/>
      <c r="H28" s="216"/>
      <c r="I28" s="216"/>
      <c r="J28" s="216"/>
      <c r="K28" s="216"/>
      <c r="L28" s="216"/>
      <c r="M28" s="216"/>
      <c r="N28" s="216"/>
      <c r="O28" s="216"/>
      <c r="P28" s="216"/>
      <c r="Q28" s="214"/>
      <c r="R28" s="216"/>
      <c r="S28" s="216"/>
      <c r="T28" s="216"/>
      <c r="U28" s="216"/>
      <c r="V28" s="216"/>
      <c r="W28" s="216"/>
      <c r="X28" s="216"/>
      <c r="Y28" s="216"/>
    </row>
    <row r="29" spans="1:25" s="309" customFormat="1" ht="16.5" customHeight="1" x14ac:dyDescent="0.2">
      <c r="A29" s="216"/>
      <c r="B29" s="216"/>
      <c r="C29" s="216"/>
      <c r="D29" s="216"/>
      <c r="E29" s="216"/>
      <c r="F29" s="216"/>
      <c r="G29" s="216"/>
      <c r="H29" s="216"/>
      <c r="I29" s="216"/>
      <c r="J29" s="216"/>
      <c r="K29" s="216"/>
      <c r="L29" s="216"/>
      <c r="M29" s="216"/>
      <c r="N29" s="216"/>
      <c r="O29" s="216"/>
      <c r="P29" s="216"/>
      <c r="Q29" s="214"/>
      <c r="R29" s="216"/>
      <c r="S29" s="216"/>
      <c r="T29" s="216"/>
      <c r="U29" s="216"/>
      <c r="V29" s="216"/>
      <c r="W29" s="216"/>
      <c r="X29" s="216"/>
      <c r="Y29" s="216"/>
    </row>
    <row r="30" spans="1:25" s="309" customFormat="1" ht="16.5" customHeight="1" x14ac:dyDescent="0.2">
      <c r="A30" s="216"/>
      <c r="B30" s="216"/>
      <c r="C30" s="216"/>
      <c r="D30" s="216"/>
      <c r="E30" s="216"/>
      <c r="F30" s="216"/>
      <c r="G30" s="216"/>
      <c r="H30" s="216"/>
      <c r="I30" s="216"/>
      <c r="J30" s="216"/>
      <c r="K30" s="216"/>
      <c r="L30" s="216"/>
      <c r="M30" s="216"/>
      <c r="N30" s="216"/>
      <c r="O30" s="216"/>
      <c r="P30" s="216"/>
      <c r="Q30" s="214"/>
      <c r="R30" s="216"/>
      <c r="S30" s="216"/>
      <c r="T30" s="216"/>
      <c r="U30" s="216"/>
      <c r="V30" s="216"/>
      <c r="W30" s="216"/>
      <c r="X30" s="216"/>
      <c r="Y30" s="216"/>
    </row>
  </sheetData>
  <phoneticPr fontId="137" type="noConversion"/>
  <pageMargins left="0.15" right="0.15" top="0.25" bottom="0.25" header="0.25" footer="0.25"/>
  <colBreaks count="1" manualBreakCount="1">
    <brk id="15" max="15" man="1"/>
  </colBreaks>
  <legacyDrawing r:id="rId1"/>
  <extLst>
    <ext xmlns:mx="http://schemas.microsoft.com/office/mac/excel/2008/main" uri="http://schemas.microsoft.com/office/mac/excel/2008/main">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4B00"/>
  </sheetPr>
  <dimension ref="A1:Z107"/>
  <sheetViews>
    <sheetView view="pageBreakPreview" zoomScaleSheetLayoutView="100" workbookViewId="0">
      <selection activeCell="J12" sqref="J12"/>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26" s="575" customFormat="1" ht="15" customHeight="1" x14ac:dyDescent="0.2">
      <c r="A1" s="572" t="s">
        <v>363</v>
      </c>
      <c r="B1" s="572"/>
      <c r="C1" s="572"/>
      <c r="D1" s="573"/>
      <c r="E1" s="573"/>
      <c r="F1" s="574"/>
      <c r="G1" s="574"/>
      <c r="H1" s="574"/>
      <c r="I1" s="574"/>
      <c r="J1" s="574"/>
      <c r="K1" s="574"/>
      <c r="L1" s="574" t="s">
        <v>1075</v>
      </c>
      <c r="M1" s="574" t="s">
        <v>1075</v>
      </c>
      <c r="N1" s="574" t="s">
        <v>1075</v>
      </c>
      <c r="O1" s="574" t="s">
        <v>1075</v>
      </c>
      <c r="P1" s="574" t="s">
        <v>1075</v>
      </c>
      <c r="Q1" s="574" t="s">
        <v>1075</v>
      </c>
      <c r="R1" s="574" t="s">
        <v>1075</v>
      </c>
      <c r="S1" s="574" t="s">
        <v>1075</v>
      </c>
      <c r="T1" s="574" t="s">
        <v>1075</v>
      </c>
      <c r="U1" s="574" t="s">
        <v>1075</v>
      </c>
      <c r="V1" s="574" t="s">
        <v>1075</v>
      </c>
      <c r="W1" s="574" t="s">
        <v>1075</v>
      </c>
      <c r="X1" s="574" t="s">
        <v>1075</v>
      </c>
      <c r="Y1" s="574" t="s">
        <v>1075</v>
      </c>
      <c r="Z1" s="574" t="s">
        <v>1075</v>
      </c>
    </row>
    <row r="2" spans="1:26" ht="15" customHeight="1" x14ac:dyDescent="0.2">
      <c r="A2" s="392"/>
      <c r="B2" s="347"/>
      <c r="C2" s="347"/>
      <c r="D2" s="348"/>
      <c r="E2" s="348"/>
      <c r="J2" s="39"/>
    </row>
    <row r="3" spans="1:26" ht="15" customHeight="1" x14ac:dyDescent="0.2">
      <c r="A3" s="392"/>
      <c r="B3" s="347"/>
      <c r="C3" s="347"/>
      <c r="D3" s="348"/>
      <c r="E3" s="348"/>
      <c r="J3" s="39"/>
    </row>
    <row r="4" spans="1:26" ht="15" customHeight="1" x14ac:dyDescent="0.2">
      <c r="A4" s="347"/>
      <c r="B4" s="347"/>
      <c r="C4" s="347"/>
      <c r="D4" s="348"/>
      <c r="E4" s="348"/>
      <c r="J4" s="39"/>
    </row>
    <row r="5" spans="1:26" ht="15" customHeight="1" x14ac:dyDescent="0.2">
      <c r="A5" s="347"/>
      <c r="B5" s="347"/>
      <c r="C5" s="347"/>
      <c r="D5" s="348"/>
      <c r="E5" s="348"/>
      <c r="J5" s="39"/>
    </row>
    <row r="6" spans="1:26" ht="15" customHeight="1" x14ac:dyDescent="0.2">
      <c r="J6" s="39"/>
      <c r="L6" s="325"/>
      <c r="M6" s="325"/>
      <c r="N6" s="325"/>
    </row>
    <row r="7" spans="1:26" ht="15" customHeight="1" x14ac:dyDescent="0.2">
      <c r="A7" s="543" t="s">
        <v>611</v>
      </c>
      <c r="G7" s="31" t="s">
        <v>304</v>
      </c>
      <c r="J7" s="380">
        <f>C10+1</f>
        <v>2011</v>
      </c>
      <c r="L7" s="325"/>
      <c r="M7" s="325"/>
      <c r="N7" s="325"/>
    </row>
    <row r="8" spans="1:26" ht="15" customHeight="1" x14ac:dyDescent="0.2">
      <c r="G8" s="31" t="s">
        <v>33</v>
      </c>
      <c r="J8" s="381">
        <f>'IS Analysis Adjustments'!B26</f>
        <v>1119</v>
      </c>
      <c r="L8" s="325"/>
      <c r="M8" s="325"/>
      <c r="N8" s="325"/>
    </row>
    <row r="9" spans="1:26" ht="15" customHeight="1" x14ac:dyDescent="0.2">
      <c r="C9" s="39"/>
      <c r="D9" s="36"/>
      <c r="E9" s="36"/>
      <c r="F9" s="39"/>
      <c r="G9" s="31" t="s">
        <v>1070</v>
      </c>
      <c r="J9" s="381">
        <f>'IS Analysis Adjustments'!B27</f>
        <v>436</v>
      </c>
      <c r="L9" s="325"/>
      <c r="M9" s="325"/>
      <c r="N9" s="325"/>
    </row>
    <row r="10" spans="1:26" ht="15" customHeight="1" x14ac:dyDescent="0.2">
      <c r="A10" s="31" t="s">
        <v>463</v>
      </c>
      <c r="B10" s="39"/>
      <c r="C10" s="576">
        <f>'IS Analysis Adjustments'!B1-1</f>
        <v>2010</v>
      </c>
      <c r="G10" s="39" t="s">
        <v>337</v>
      </c>
      <c r="H10" s="39"/>
      <c r="I10" s="39"/>
      <c r="J10" s="44">
        <f>J9/J8</f>
        <v>0.3896336014298481</v>
      </c>
      <c r="L10" s="325"/>
      <c r="M10" s="325"/>
      <c r="N10" s="325"/>
    </row>
    <row r="11" spans="1:26" ht="15" customHeight="1" x14ac:dyDescent="0.2">
      <c r="C11" s="36"/>
      <c r="D11" s="36"/>
      <c r="E11" s="36"/>
      <c r="F11" s="36"/>
      <c r="G11" s="39" t="s">
        <v>305</v>
      </c>
      <c r="H11" s="39"/>
      <c r="I11" s="39"/>
      <c r="J11" s="379">
        <v>4.3999999999999997E-2</v>
      </c>
      <c r="L11" s="325"/>
      <c r="M11" s="325"/>
      <c r="N11" s="325"/>
    </row>
    <row r="12" spans="1:26" ht="15" customHeight="1" x14ac:dyDescent="0.2">
      <c r="B12" s="347"/>
      <c r="C12" s="378" t="s">
        <v>306</v>
      </c>
      <c r="D12" s="378"/>
      <c r="E12" s="378"/>
      <c r="F12" s="378"/>
    </row>
    <row r="13" spans="1:26" ht="15" customHeight="1" x14ac:dyDescent="0.2">
      <c r="B13" s="351" t="s">
        <v>63</v>
      </c>
      <c r="C13" s="350" t="s">
        <v>110</v>
      </c>
      <c r="D13" s="350"/>
      <c r="E13" s="383" t="s">
        <v>307</v>
      </c>
      <c r="F13" s="383" t="s">
        <v>45</v>
      </c>
      <c r="I13" s="216"/>
    </row>
    <row r="14" spans="1:26" ht="15" customHeight="1" x14ac:dyDescent="0.2">
      <c r="A14" s="352">
        <v>1</v>
      </c>
      <c r="B14" s="382">
        <f>C10+1</f>
        <v>2011</v>
      </c>
      <c r="C14" s="1251">
        <v>111</v>
      </c>
      <c r="D14" s="66"/>
      <c r="E14" s="384" t="s">
        <v>464</v>
      </c>
      <c r="F14" s="384" t="s">
        <v>464</v>
      </c>
    </row>
    <row r="15" spans="1:26" ht="15" customHeight="1" x14ac:dyDescent="0.2">
      <c r="A15" s="352">
        <v>2</v>
      </c>
      <c r="B15" s="382">
        <f>B14+1</f>
        <v>2012</v>
      </c>
      <c r="C15" s="1252">
        <v>108</v>
      </c>
      <c r="D15" s="32"/>
      <c r="E15" s="270"/>
      <c r="F15" s="270"/>
    </row>
    <row r="16" spans="1:26" ht="15" customHeight="1" x14ac:dyDescent="0.2">
      <c r="A16" s="352">
        <v>3</v>
      </c>
      <c r="B16" s="382">
        <f>B15+1</f>
        <v>2013</v>
      </c>
      <c r="C16" s="1252">
        <v>100</v>
      </c>
      <c r="D16" s="32"/>
      <c r="E16" s="270"/>
      <c r="F16" s="270"/>
    </row>
    <row r="17" spans="1:14" ht="15" customHeight="1" x14ac:dyDescent="0.2">
      <c r="A17" s="352">
        <v>4</v>
      </c>
      <c r="B17" s="382">
        <f>B16+1</f>
        <v>2014</v>
      </c>
      <c r="C17" s="1252">
        <v>96</v>
      </c>
      <c r="D17" s="32"/>
      <c r="E17" s="270"/>
      <c r="F17" s="270"/>
    </row>
    <row r="18" spans="1:14" ht="15" customHeight="1" x14ac:dyDescent="0.2">
      <c r="A18" s="352">
        <v>5</v>
      </c>
      <c r="B18" s="382">
        <f>B17+1</f>
        <v>2015</v>
      </c>
      <c r="C18" s="1252">
        <v>92</v>
      </c>
      <c r="D18" s="353" t="s">
        <v>156</v>
      </c>
      <c r="E18" s="270"/>
      <c r="F18" s="270"/>
    </row>
    <row r="19" spans="1:14" ht="15" customHeight="1" x14ac:dyDescent="0.2">
      <c r="A19" s="354"/>
      <c r="B19" s="355" t="s">
        <v>112</v>
      </c>
      <c r="C19" s="1253">
        <v>524</v>
      </c>
      <c r="D19" s="356" t="s">
        <v>155</v>
      </c>
      <c r="E19" s="270"/>
      <c r="F19" s="270"/>
    </row>
    <row r="20" spans="1:14" ht="15" customHeight="1" thickBot="1" x14ac:dyDescent="0.25">
      <c r="B20" s="352" t="s">
        <v>45</v>
      </c>
      <c r="C20" s="237">
        <f>SUM(C14:C19)</f>
        <v>1031</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6</v>
      </c>
    </row>
    <row r="23" spans="1:14" ht="15" customHeight="1" x14ac:dyDescent="0.2">
      <c r="A23" s="112" t="s">
        <v>466</v>
      </c>
      <c r="F23" s="358">
        <f>IF(A18+F22&gt;20,20,A18+F22)</f>
        <v>11</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s="346" customFormat="1" ht="15" customHeight="1" x14ac:dyDescent="0.2">
      <c r="A28" s="1086" t="s">
        <v>423</v>
      </c>
      <c r="B28" s="1086" t="s">
        <v>424</v>
      </c>
      <c r="C28" s="1086"/>
      <c r="D28" s="1087"/>
      <c r="E28" s="1088"/>
      <c r="F28" s="1086" t="s">
        <v>425</v>
      </c>
      <c r="G28" s="1086"/>
      <c r="H28" s="1086" t="s">
        <v>426</v>
      </c>
      <c r="I28" s="1086"/>
      <c r="J28" s="1086" t="s">
        <v>427</v>
      </c>
      <c r="K28" s="1086" t="s">
        <v>428</v>
      </c>
    </row>
    <row r="29" spans="1:14" s="346" customFormat="1" ht="15" customHeight="1" x14ac:dyDescent="0.2">
      <c r="A29" s="1089" t="s">
        <v>429</v>
      </c>
      <c r="B29" s="1089" t="s">
        <v>430</v>
      </c>
      <c r="C29" s="1089"/>
      <c r="D29" s="1090"/>
      <c r="E29" s="1091"/>
      <c r="F29" s="1089" t="s">
        <v>431</v>
      </c>
      <c r="G29" s="1089" t="s">
        <v>432</v>
      </c>
      <c r="H29" s="1089" t="s">
        <v>433</v>
      </c>
      <c r="I29" s="1089" t="s">
        <v>114</v>
      </c>
      <c r="J29" s="1089" t="s">
        <v>434</v>
      </c>
      <c r="K29" s="1089" t="s">
        <v>435</v>
      </c>
    </row>
    <row r="30" spans="1:14" s="346" customFormat="1"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row>
    <row r="31" spans="1:14" ht="15" customHeight="1" x14ac:dyDescent="0.2">
      <c r="A31" s="130">
        <v>0</v>
      </c>
      <c r="B31" s="386">
        <f>C10</f>
        <v>2010</v>
      </c>
      <c r="C31" s="111"/>
      <c r="D31" s="33"/>
      <c r="F31" s="33"/>
      <c r="G31" s="33"/>
      <c r="H31" s="365"/>
      <c r="I31" s="393">
        <f>F52</f>
        <v>814.69350252131164</v>
      </c>
      <c r="J31" s="393">
        <f>I31</f>
        <v>814.69350252131164</v>
      </c>
      <c r="K31" s="365"/>
      <c r="L31" s="325"/>
      <c r="M31" s="325"/>
      <c r="N31" s="325"/>
    </row>
    <row r="32" spans="1:14" ht="15" customHeight="1" x14ac:dyDescent="0.2">
      <c r="A32" s="365">
        <v>1</v>
      </c>
      <c r="B32" s="386">
        <f t="shared" ref="B32:C36" si="0">B14</f>
        <v>2011</v>
      </c>
      <c r="C32" s="1151">
        <f t="shared" si="0"/>
        <v>111</v>
      </c>
      <c r="D32" s="365"/>
      <c r="E32" s="366">
        <f t="shared" ref="E32:E51" si="1">1/(1+J$11)^A32</f>
        <v>0.95785440613026818</v>
      </c>
      <c r="F32" s="388">
        <f>C32*E32</f>
        <v>106.32183908045977</v>
      </c>
      <c r="G32" s="389">
        <f>I31*J$11</f>
        <v>35.846514110937711</v>
      </c>
      <c r="H32" s="390">
        <f>C32-G32</f>
        <v>75.153485889062296</v>
      </c>
      <c r="I32" s="347">
        <f>I31-H32</f>
        <v>739.54001663224938</v>
      </c>
      <c r="J32" s="365">
        <f>J31-K32</f>
        <v>740.63045683755604</v>
      </c>
      <c r="K32" s="391">
        <f>IF(A32&gt;F$23,0,I$31/F$23)</f>
        <v>74.063045683755604</v>
      </c>
      <c r="L32" s="365"/>
      <c r="M32" s="365"/>
      <c r="N32" s="365"/>
    </row>
    <row r="33" spans="1:11" ht="15" customHeight="1" x14ac:dyDescent="0.2">
      <c r="A33" s="352">
        <v>2</v>
      </c>
      <c r="B33" s="386">
        <f t="shared" si="0"/>
        <v>2012</v>
      </c>
      <c r="C33" s="32">
        <f t="shared" si="0"/>
        <v>108</v>
      </c>
      <c r="E33" s="366">
        <f t="shared" si="1"/>
        <v>0.91748506334316871</v>
      </c>
      <c r="F33" s="365">
        <f>C33*E33</f>
        <v>99.088386841062217</v>
      </c>
      <c r="G33" s="372">
        <f>I32*J$11</f>
        <v>32.539760731818973</v>
      </c>
      <c r="H33" s="373">
        <f>C33-G33</f>
        <v>75.460239268181027</v>
      </c>
      <c r="I33" s="373">
        <f>I32-H33</f>
        <v>664.07977736406838</v>
      </c>
      <c r="J33" s="365">
        <f t="shared" ref="J33:J51" si="2">J32-K33</f>
        <v>666.56741115380044</v>
      </c>
      <c r="K33" s="373">
        <f>IF(A33&gt;F$23,0,I$31/F$23)</f>
        <v>74.063045683755604</v>
      </c>
    </row>
    <row r="34" spans="1:11" ht="15" customHeight="1" x14ac:dyDescent="0.2">
      <c r="A34" s="352">
        <v>3</v>
      </c>
      <c r="B34" s="386">
        <f t="shared" si="0"/>
        <v>2013</v>
      </c>
      <c r="C34" s="32">
        <f t="shared" si="0"/>
        <v>100</v>
      </c>
      <c r="E34" s="366">
        <f t="shared" si="1"/>
        <v>0.87881711048196232</v>
      </c>
      <c r="F34" s="365">
        <f t="shared" ref="F34:F51" si="3">C34*E34</f>
        <v>87.881711048196237</v>
      </c>
      <c r="G34" s="372">
        <f t="shared" ref="G34:G51" si="4">I33*J$11</f>
        <v>29.219510204019006</v>
      </c>
      <c r="H34" s="373">
        <f t="shared" ref="H34:H51" si="5">C34-G34</f>
        <v>70.780489795980998</v>
      </c>
      <c r="I34" s="373">
        <f t="shared" ref="I34:I51" si="6">I33-H34</f>
        <v>593.29928756808738</v>
      </c>
      <c r="J34" s="365">
        <f t="shared" si="2"/>
        <v>592.50436547004483</v>
      </c>
      <c r="K34" s="373">
        <f t="shared" ref="K34:K51" si="7">IF(A34&gt;F$23,0,I$31/F$23)</f>
        <v>74.063045683755604</v>
      </c>
    </row>
    <row r="35" spans="1:11" ht="15" customHeight="1" x14ac:dyDescent="0.2">
      <c r="A35" s="352">
        <v>4</v>
      </c>
      <c r="B35" s="386">
        <f t="shared" si="0"/>
        <v>2014</v>
      </c>
      <c r="C35" s="32">
        <f t="shared" si="0"/>
        <v>96</v>
      </c>
      <c r="E35" s="366">
        <f t="shared" si="1"/>
        <v>0.84177884145781834</v>
      </c>
      <c r="F35" s="365">
        <f t="shared" si="3"/>
        <v>80.810768779950564</v>
      </c>
      <c r="G35" s="372">
        <f t="shared" si="4"/>
        <v>26.105168652995843</v>
      </c>
      <c r="H35" s="373">
        <f t="shared" si="5"/>
        <v>69.894831347004157</v>
      </c>
      <c r="I35" s="373">
        <f t="shared" si="6"/>
        <v>523.40445622108325</v>
      </c>
      <c r="J35" s="365">
        <f t="shared" si="2"/>
        <v>518.44131978628923</v>
      </c>
      <c r="K35" s="373">
        <f t="shared" si="7"/>
        <v>74.063045683755604</v>
      </c>
    </row>
    <row r="36" spans="1:11" ht="15" customHeight="1" x14ac:dyDescent="0.2">
      <c r="A36" s="352">
        <v>5</v>
      </c>
      <c r="B36" s="386">
        <f t="shared" si="0"/>
        <v>2015</v>
      </c>
      <c r="C36" s="32">
        <f t="shared" si="0"/>
        <v>92</v>
      </c>
      <c r="E36" s="366">
        <f t="shared" si="1"/>
        <v>0.8063015722776038</v>
      </c>
      <c r="F36" s="365">
        <f t="shared" si="3"/>
        <v>74.179744649539543</v>
      </c>
      <c r="G36" s="372">
        <f t="shared" si="4"/>
        <v>23.029796073727663</v>
      </c>
      <c r="H36" s="373">
        <f t="shared" si="5"/>
        <v>68.970203926272333</v>
      </c>
      <c r="I36" s="373">
        <f t="shared" si="6"/>
        <v>454.4342522948109</v>
      </c>
      <c r="J36" s="365">
        <f t="shared" si="2"/>
        <v>444.37827410253362</v>
      </c>
      <c r="K36" s="373">
        <f t="shared" si="7"/>
        <v>74.063045683755604</v>
      </c>
    </row>
    <row r="37" spans="1:11" ht="15" customHeight="1" x14ac:dyDescent="0.2">
      <c r="A37" s="93">
        <f t="shared" ref="A37:B42" si="8">A36+1</f>
        <v>6</v>
      </c>
      <c r="B37" s="855">
        <f>B36+1</f>
        <v>2016</v>
      </c>
      <c r="C37" s="1150">
        <f>IF(A37&gt;F$23,0,IF(A37=F$23,C$20-SUM(C$32:C36),C$18))</f>
        <v>92</v>
      </c>
      <c r="E37" s="366">
        <f t="shared" si="1"/>
        <v>0.7723195136758656</v>
      </c>
      <c r="F37" s="365">
        <f t="shared" si="3"/>
        <v>71.053395258179634</v>
      </c>
      <c r="G37" s="372">
        <f t="shared" si="4"/>
        <v>19.99510710097168</v>
      </c>
      <c r="H37" s="373">
        <f t="shared" si="5"/>
        <v>72.00489289902832</v>
      </c>
      <c r="I37" s="373">
        <f t="shared" si="6"/>
        <v>382.42935939578257</v>
      </c>
      <c r="J37" s="365">
        <f t="shared" si="2"/>
        <v>370.31522841877802</v>
      </c>
      <c r="K37" s="373">
        <f t="shared" si="7"/>
        <v>74.063045683755604</v>
      </c>
    </row>
    <row r="38" spans="1:11" ht="15" customHeight="1" x14ac:dyDescent="0.2">
      <c r="A38" s="93">
        <f t="shared" si="8"/>
        <v>7</v>
      </c>
      <c r="B38" s="855">
        <f t="shared" si="8"/>
        <v>2017</v>
      </c>
      <c r="C38" s="1150">
        <f>IF(A38&gt;F$23,0,IF(A38=F$23,C$20-SUM(C$32:C37),C$18))</f>
        <v>92</v>
      </c>
      <c r="E38" s="366">
        <f t="shared" si="1"/>
        <v>0.7397696491148138</v>
      </c>
      <c r="F38" s="365">
        <f t="shared" si="3"/>
        <v>68.058807718562875</v>
      </c>
      <c r="G38" s="372">
        <f t="shared" si="4"/>
        <v>16.826891813414431</v>
      </c>
      <c r="H38" s="373">
        <f t="shared" si="5"/>
        <v>75.173108186585566</v>
      </c>
      <c r="I38" s="373">
        <f t="shared" si="6"/>
        <v>307.25625120919699</v>
      </c>
      <c r="J38" s="365">
        <f t="shared" si="2"/>
        <v>296.25218273502242</v>
      </c>
      <c r="K38" s="373">
        <f t="shared" si="7"/>
        <v>74.063045683755604</v>
      </c>
    </row>
    <row r="39" spans="1:11" ht="15" customHeight="1" x14ac:dyDescent="0.2">
      <c r="A39" s="93">
        <f t="shared" si="8"/>
        <v>8</v>
      </c>
      <c r="B39" s="855">
        <f t="shared" si="8"/>
        <v>2018</v>
      </c>
      <c r="C39" s="1150">
        <f>IF(A39&gt;F$23,0,IF(A39=F$23,C$20-SUM(C$32:C38),C$18))</f>
        <v>92</v>
      </c>
      <c r="E39" s="366">
        <f t="shared" si="1"/>
        <v>0.70859161792606684</v>
      </c>
      <c r="F39" s="365">
        <f t="shared" si="3"/>
        <v>65.190428849198156</v>
      </c>
      <c r="G39" s="372">
        <f t="shared" si="4"/>
        <v>13.519275053204666</v>
      </c>
      <c r="H39" s="373">
        <f t="shared" si="5"/>
        <v>78.480724946795334</v>
      </c>
      <c r="I39" s="373">
        <f t="shared" si="6"/>
        <v>228.77552626240166</v>
      </c>
      <c r="J39" s="365">
        <f t="shared" si="2"/>
        <v>222.18913705126681</v>
      </c>
      <c r="K39" s="373">
        <f t="shared" si="7"/>
        <v>74.063045683755604</v>
      </c>
    </row>
    <row r="40" spans="1:11" ht="15" customHeight="1" x14ac:dyDescent="0.2">
      <c r="A40" s="93">
        <f t="shared" si="8"/>
        <v>9</v>
      </c>
      <c r="B40" s="855">
        <f t="shared" si="8"/>
        <v>2019</v>
      </c>
      <c r="C40" s="1150">
        <f>IF(A40&gt;F$23,0,IF(A40=F$23,C$20-SUM(C$32:C39),C$18))</f>
        <v>92</v>
      </c>
      <c r="E40" s="366">
        <f t="shared" si="1"/>
        <v>0.67872760337745863</v>
      </c>
      <c r="F40" s="365">
        <f t="shared" si="3"/>
        <v>62.442939510726191</v>
      </c>
      <c r="G40" s="372">
        <f t="shared" si="4"/>
        <v>10.066123155545672</v>
      </c>
      <c r="H40" s="373">
        <f t="shared" si="5"/>
        <v>81.933876844454332</v>
      </c>
      <c r="I40" s="373">
        <f t="shared" si="6"/>
        <v>146.84164941794734</v>
      </c>
      <c r="J40" s="365">
        <f t="shared" si="2"/>
        <v>148.12609136751121</v>
      </c>
      <c r="K40" s="373">
        <f t="shared" si="7"/>
        <v>74.063045683755604</v>
      </c>
    </row>
    <row r="41" spans="1:11" ht="15" customHeight="1" x14ac:dyDescent="0.2">
      <c r="A41" s="93">
        <f t="shared" si="8"/>
        <v>10</v>
      </c>
      <c r="B41" s="855">
        <f t="shared" si="8"/>
        <v>2020</v>
      </c>
      <c r="C41" s="1150">
        <f>IF(A41&gt;F$23,0,IF(A41=F$23,C$20-SUM(C$32:C40),C$18))</f>
        <v>92</v>
      </c>
      <c r="E41" s="366">
        <f t="shared" si="1"/>
        <v>0.65012222545733589</v>
      </c>
      <c r="F41" s="365">
        <f t="shared" si="3"/>
        <v>59.811244742074905</v>
      </c>
      <c r="G41" s="372">
        <f t="shared" si="4"/>
        <v>6.4610325743896828</v>
      </c>
      <c r="H41" s="373">
        <f t="shared" si="5"/>
        <v>85.538967425610323</v>
      </c>
      <c r="I41" s="373">
        <f t="shared" si="6"/>
        <v>61.302681992337014</v>
      </c>
      <c r="J41" s="365">
        <f t="shared" si="2"/>
        <v>74.063045683755604</v>
      </c>
      <c r="K41" s="373">
        <f t="shared" si="7"/>
        <v>74.063045683755604</v>
      </c>
    </row>
    <row r="42" spans="1:11" ht="15" customHeight="1" x14ac:dyDescent="0.2">
      <c r="A42" s="93">
        <f t="shared" si="8"/>
        <v>11</v>
      </c>
      <c r="B42" s="855">
        <f t="shared" ref="B42:B51" si="9">B41+1</f>
        <v>2021</v>
      </c>
      <c r="C42" s="1150">
        <f>IF(A42&gt;F$23,0,IF(A42=F$23,C$20-SUM(C$32:C41),C$18))</f>
        <v>64</v>
      </c>
      <c r="E42" s="366">
        <f t="shared" si="1"/>
        <v>0.62272243817752471</v>
      </c>
      <c r="F42" s="365">
        <f t="shared" si="3"/>
        <v>39.854236043361581</v>
      </c>
      <c r="G42" s="372">
        <f t="shared" si="4"/>
        <v>2.6973180076628283</v>
      </c>
      <c r="H42" s="373">
        <f t="shared" si="5"/>
        <v>61.30268199233717</v>
      </c>
      <c r="I42" s="373">
        <f t="shared" si="6"/>
        <v>-1.5631940186722204E-13</v>
      </c>
      <c r="J42" s="365">
        <f t="shared" si="2"/>
        <v>0</v>
      </c>
      <c r="K42" s="373">
        <f t="shared" si="7"/>
        <v>74.063045683755604</v>
      </c>
    </row>
    <row r="43" spans="1:11" ht="15" customHeight="1" x14ac:dyDescent="0.2">
      <c r="A43" s="93">
        <f t="shared" ref="A43:A51" si="10">A42+1</f>
        <v>12</v>
      </c>
      <c r="B43" s="855">
        <f t="shared" si="9"/>
        <v>2022</v>
      </c>
      <c r="C43" s="1150">
        <f>IF(A43&gt;F$23,0,IF(A43=F$23,C$20-SUM(C$32:C42),C$18))</f>
        <v>0</v>
      </c>
      <c r="E43" s="366">
        <f t="shared" si="1"/>
        <v>0.59647743120452557</v>
      </c>
      <c r="F43" s="365">
        <f t="shared" si="3"/>
        <v>0</v>
      </c>
      <c r="G43" s="372">
        <f t="shared" si="4"/>
        <v>-6.8780536821577696E-15</v>
      </c>
      <c r="H43" s="373">
        <f t="shared" si="5"/>
        <v>6.8780536821577696E-15</v>
      </c>
      <c r="I43" s="373">
        <f t="shared" si="6"/>
        <v>-1.6319745554937981E-13</v>
      </c>
      <c r="J43" s="365">
        <f t="shared" si="2"/>
        <v>0</v>
      </c>
      <c r="K43" s="373">
        <f t="shared" si="7"/>
        <v>0</v>
      </c>
    </row>
    <row r="44" spans="1:11" ht="15" customHeight="1" x14ac:dyDescent="0.2">
      <c r="A44" s="93">
        <f t="shared" si="10"/>
        <v>13</v>
      </c>
      <c r="B44" s="855">
        <f t="shared" si="9"/>
        <v>2023</v>
      </c>
      <c r="C44" s="1150">
        <f>IF(A44&gt;F$23,0,IF(A44=F$23,C$20-SUM(C$32:C43),C$18))</f>
        <v>0</v>
      </c>
      <c r="E44" s="366">
        <f t="shared" si="1"/>
        <v>0.57133853563651882</v>
      </c>
      <c r="F44" s="365">
        <f t="shared" si="3"/>
        <v>0</v>
      </c>
      <c r="G44" s="372">
        <f t="shared" si="4"/>
        <v>-7.1806880441727112E-15</v>
      </c>
      <c r="H44" s="373">
        <f t="shared" si="5"/>
        <v>7.1806880441727112E-15</v>
      </c>
      <c r="I44" s="373">
        <f t="shared" si="6"/>
        <v>-1.7037814359355252E-13</v>
      </c>
      <c r="J44" s="365">
        <f t="shared" si="2"/>
        <v>0</v>
      </c>
      <c r="K44" s="373">
        <f t="shared" si="7"/>
        <v>0</v>
      </c>
    </row>
    <row r="45" spans="1:11" ht="15" customHeight="1" x14ac:dyDescent="0.2">
      <c r="A45" s="93">
        <f t="shared" si="10"/>
        <v>14</v>
      </c>
      <c r="B45" s="855">
        <f t="shared" si="9"/>
        <v>2024</v>
      </c>
      <c r="C45" s="1150">
        <f>IF(A45&gt;F$23,0,IF(A45=F$23,C$20-SUM(C$32:C44),C$18))</f>
        <v>0</v>
      </c>
      <c r="E45" s="366">
        <f t="shared" si="1"/>
        <v>0.54725913375145474</v>
      </c>
      <c r="F45" s="365">
        <f t="shared" si="3"/>
        <v>0</v>
      </c>
      <c r="G45" s="372">
        <f t="shared" si="4"/>
        <v>-7.4966383181163096E-15</v>
      </c>
      <c r="H45" s="373">
        <f t="shared" si="5"/>
        <v>7.4966383181163096E-15</v>
      </c>
      <c r="I45" s="373">
        <f t="shared" si="6"/>
        <v>-1.7787478191166882E-13</v>
      </c>
      <c r="J45" s="365">
        <f t="shared" si="2"/>
        <v>0</v>
      </c>
      <c r="K45" s="373">
        <f t="shared" si="7"/>
        <v>0</v>
      </c>
    </row>
    <row r="46" spans="1:11" ht="15" customHeight="1" x14ac:dyDescent="0.2">
      <c r="A46" s="93">
        <f t="shared" si="10"/>
        <v>15</v>
      </c>
      <c r="B46" s="855">
        <f t="shared" si="9"/>
        <v>2025</v>
      </c>
      <c r="C46" s="1150">
        <f>IF(A46&gt;F$23,0,IF(A46=F$23,C$20-SUM(C$32:C45),C$18))</f>
        <v>0</v>
      </c>
      <c r="E46" s="366">
        <f t="shared" si="1"/>
        <v>0.52419457255886459</v>
      </c>
      <c r="F46" s="365">
        <f t="shared" si="3"/>
        <v>0</v>
      </c>
      <c r="G46" s="372">
        <f t="shared" si="4"/>
        <v>-7.8264904041134275E-15</v>
      </c>
      <c r="H46" s="373">
        <f t="shared" si="5"/>
        <v>7.8264904041134275E-15</v>
      </c>
      <c r="I46" s="373">
        <f t="shared" si="6"/>
        <v>-1.8570127231578224E-13</v>
      </c>
      <c r="J46" s="365">
        <f t="shared" si="2"/>
        <v>0</v>
      </c>
      <c r="K46" s="373">
        <f t="shared" si="7"/>
        <v>0</v>
      </c>
    </row>
    <row r="47" spans="1:11" ht="15" customHeight="1" x14ac:dyDescent="0.2">
      <c r="A47" s="93">
        <f t="shared" si="10"/>
        <v>16</v>
      </c>
      <c r="B47" s="855">
        <f t="shared" si="9"/>
        <v>2026</v>
      </c>
      <c r="C47" s="1150">
        <f>IF(A47&gt;F$23,0,IF(A47=F$23,C$20-SUM(C$32:C46),C$18))</f>
        <v>0</v>
      </c>
      <c r="E47" s="366">
        <f t="shared" si="1"/>
        <v>0.50210208099508113</v>
      </c>
      <c r="F47" s="365">
        <f t="shared" si="3"/>
        <v>0</v>
      </c>
      <c r="G47" s="372">
        <f t="shared" si="4"/>
        <v>-8.1708559818944182E-15</v>
      </c>
      <c r="H47" s="373">
        <f t="shared" si="5"/>
        <v>8.1708559818944182E-15</v>
      </c>
      <c r="I47" s="373">
        <f t="shared" si="6"/>
        <v>-1.9387212829767666E-13</v>
      </c>
      <c r="J47" s="365">
        <f t="shared" si="2"/>
        <v>0</v>
      </c>
      <c r="K47" s="373">
        <f t="shared" si="7"/>
        <v>0</v>
      </c>
    </row>
    <row r="48" spans="1:11" ht="15" customHeight="1" x14ac:dyDescent="0.2">
      <c r="A48" s="93">
        <f t="shared" si="10"/>
        <v>17</v>
      </c>
      <c r="B48" s="855">
        <f t="shared" si="9"/>
        <v>2027</v>
      </c>
      <c r="C48" s="1150">
        <f>IF(A48&gt;F$23,0,IF(A48=F$23,C$20-SUM(C$32:C47),C$18))</f>
        <v>0</v>
      </c>
      <c r="E48" s="366">
        <f t="shared" si="1"/>
        <v>0.48094069060831529</v>
      </c>
      <c r="F48" s="365">
        <f t="shared" si="3"/>
        <v>0</v>
      </c>
      <c r="G48" s="372">
        <f t="shared" si="4"/>
        <v>-8.5303736450977722E-15</v>
      </c>
      <c r="H48" s="373">
        <f t="shared" si="5"/>
        <v>8.5303736450977722E-15</v>
      </c>
      <c r="I48" s="373">
        <f t="shared" si="6"/>
        <v>-2.0240250194277443E-13</v>
      </c>
      <c r="J48" s="365">
        <f t="shared" si="2"/>
        <v>0</v>
      </c>
      <c r="K48" s="373">
        <f t="shared" si="7"/>
        <v>0</v>
      </c>
    </row>
    <row r="49" spans="1:14" ht="15" customHeight="1" x14ac:dyDescent="0.2">
      <c r="A49" s="93">
        <f t="shared" si="10"/>
        <v>18</v>
      </c>
      <c r="B49" s="855">
        <f t="shared" si="9"/>
        <v>2028</v>
      </c>
      <c r="C49" s="1150">
        <f>IF(A49&gt;F$23,0,IF(A49=F$23,C$20-SUM(C$32:C48),C$18))</f>
        <v>0</v>
      </c>
      <c r="E49" s="366">
        <f t="shared" si="1"/>
        <v>0.46067115958650884</v>
      </c>
      <c r="F49" s="365">
        <f t="shared" si="3"/>
        <v>0</v>
      </c>
      <c r="G49" s="372">
        <f t="shared" si="4"/>
        <v>-8.9057100854820746E-15</v>
      </c>
      <c r="H49" s="373">
        <f t="shared" si="5"/>
        <v>8.9057100854820746E-15</v>
      </c>
      <c r="I49" s="373">
        <f t="shared" si="6"/>
        <v>-2.113082120282565E-13</v>
      </c>
      <c r="J49" s="365">
        <f t="shared" si="2"/>
        <v>0</v>
      </c>
      <c r="K49" s="373">
        <f t="shared" si="7"/>
        <v>0</v>
      </c>
    </row>
    <row r="50" spans="1:14" ht="15" customHeight="1" x14ac:dyDescent="0.2">
      <c r="A50" s="93">
        <f t="shared" si="10"/>
        <v>19</v>
      </c>
      <c r="B50" s="855">
        <f t="shared" si="9"/>
        <v>2029</v>
      </c>
      <c r="C50" s="1150">
        <f>IF(A50&gt;F$23,0,IF(A50=F$23,C$20-SUM(C$32:C49),C$18))</f>
        <v>0</v>
      </c>
      <c r="E50" s="366">
        <f t="shared" si="1"/>
        <v>0.44125589998707743</v>
      </c>
      <c r="F50" s="365">
        <f t="shared" si="3"/>
        <v>0</v>
      </c>
      <c r="G50" s="372">
        <f t="shared" si="4"/>
        <v>-9.2975613292432861E-15</v>
      </c>
      <c r="H50" s="373">
        <f t="shared" si="5"/>
        <v>9.2975613292432861E-15</v>
      </c>
      <c r="I50" s="373">
        <f t="shared" si="6"/>
        <v>-2.2060577335749978E-13</v>
      </c>
      <c r="J50" s="365">
        <f t="shared" si="2"/>
        <v>0</v>
      </c>
      <c r="K50" s="373">
        <f t="shared" si="7"/>
        <v>0</v>
      </c>
    </row>
    <row r="51" spans="1:14" ht="15" customHeight="1" x14ac:dyDescent="0.2">
      <c r="A51" s="93">
        <f t="shared" si="10"/>
        <v>20</v>
      </c>
      <c r="B51" s="855">
        <f t="shared" si="9"/>
        <v>2030</v>
      </c>
      <c r="C51" s="1150">
        <f>IF(A51&gt;F$23,0,IF(A51=F$23,C$20-SUM(C$32:C50),C$18))</f>
        <v>0</v>
      </c>
      <c r="E51" s="366">
        <f t="shared" si="1"/>
        <v>0.42265890803359907</v>
      </c>
      <c r="F51" s="365">
        <f t="shared" si="3"/>
        <v>0</v>
      </c>
      <c r="G51" s="372">
        <f t="shared" si="4"/>
        <v>-9.7066540277299898E-15</v>
      </c>
      <c r="H51" s="373">
        <f t="shared" si="5"/>
        <v>9.7066540277299898E-15</v>
      </c>
      <c r="I51" s="373">
        <f t="shared" si="6"/>
        <v>-2.3031242738522976E-13</v>
      </c>
      <c r="J51" s="365">
        <f t="shared" si="2"/>
        <v>0</v>
      </c>
      <c r="K51" s="373">
        <f t="shared" si="7"/>
        <v>0</v>
      </c>
    </row>
    <row r="52" spans="1:14" ht="15" customHeight="1" thickBot="1" x14ac:dyDescent="0.25">
      <c r="A52" s="352" t="s">
        <v>441</v>
      </c>
      <c r="C52" s="387">
        <f>SUM(C32:C51)</f>
        <v>1031</v>
      </c>
      <c r="F52" s="387">
        <f>SUM(F32:F51)</f>
        <v>814.69350252131164</v>
      </c>
      <c r="G52" s="387">
        <f>SUM(G32:G51)</f>
        <v>216.30649747868816</v>
      </c>
      <c r="H52" s="387">
        <f>SUM(H32:H51)</f>
        <v>814.69350252131187</v>
      </c>
      <c r="I52" s="120"/>
      <c r="J52" s="120"/>
      <c r="K52" s="387">
        <f>SUM(K32:K51)</f>
        <v>814.69350252131164</v>
      </c>
    </row>
    <row r="53" spans="1:14" ht="15" customHeight="1" x14ac:dyDescent="0.2">
      <c r="I53" s="33"/>
    </row>
    <row r="54" spans="1:14" ht="15" customHeight="1" x14ac:dyDescent="0.2">
      <c r="A54" s="359" t="s">
        <v>442</v>
      </c>
      <c r="B54" s="359" t="s">
        <v>443</v>
      </c>
      <c r="C54" s="367" t="s">
        <v>444</v>
      </c>
      <c r="D54" s="368"/>
      <c r="E54" s="359" t="s">
        <v>445</v>
      </c>
      <c r="F54" s="359" t="s">
        <v>446</v>
      </c>
      <c r="G54" s="359" t="s">
        <v>447</v>
      </c>
      <c r="H54" s="359" t="s">
        <v>448</v>
      </c>
      <c r="I54" s="325"/>
      <c r="J54" s="325"/>
      <c r="K54" s="325"/>
    </row>
    <row r="55" spans="1:14" ht="15" customHeight="1" x14ac:dyDescent="0.2">
      <c r="A55" s="362" t="s">
        <v>449</v>
      </c>
      <c r="B55" s="362" t="s">
        <v>450</v>
      </c>
      <c r="C55" s="369" t="s">
        <v>451</v>
      </c>
      <c r="D55" s="370"/>
      <c r="E55" s="371" t="s">
        <v>452</v>
      </c>
      <c r="F55" s="371" t="s">
        <v>453</v>
      </c>
      <c r="G55" s="371" t="s">
        <v>454</v>
      </c>
      <c r="H55" s="371" t="s">
        <v>455</v>
      </c>
      <c r="I55" s="325"/>
      <c r="J55" s="325"/>
      <c r="K55" s="325"/>
    </row>
    <row r="56" spans="1:14" ht="15" customHeight="1" x14ac:dyDescent="0.2">
      <c r="A56" s="1086" t="s">
        <v>424</v>
      </c>
      <c r="B56" s="1095" t="s">
        <v>60</v>
      </c>
      <c r="C56" s="1098" t="s">
        <v>59</v>
      </c>
      <c r="D56" s="1099"/>
      <c r="E56" s="1100"/>
      <c r="F56" s="1101"/>
      <c r="G56" s="1102" t="s">
        <v>456</v>
      </c>
      <c r="H56" s="1101"/>
      <c r="I56" s="325"/>
      <c r="J56" s="325"/>
      <c r="K56" s="325"/>
    </row>
    <row r="57" spans="1:14" ht="15" customHeight="1" x14ac:dyDescent="0.2">
      <c r="A57" s="1089" t="s">
        <v>430</v>
      </c>
      <c r="B57" s="1096" t="s">
        <v>457</v>
      </c>
      <c r="C57" s="1090" t="s">
        <v>113</v>
      </c>
      <c r="D57" s="1091"/>
      <c r="E57" s="1089" t="s">
        <v>72</v>
      </c>
      <c r="F57" s="1089" t="s">
        <v>45</v>
      </c>
      <c r="G57" s="1089" t="s">
        <v>458</v>
      </c>
      <c r="H57" s="1089" t="s">
        <v>459</v>
      </c>
      <c r="I57" s="325"/>
      <c r="J57" s="325"/>
      <c r="K57" s="325"/>
    </row>
    <row r="58" spans="1:14" ht="15" customHeight="1" x14ac:dyDescent="0.2">
      <c r="A58" s="1092" t="s">
        <v>429</v>
      </c>
      <c r="B58" s="1097" t="s">
        <v>460</v>
      </c>
      <c r="C58" s="1093" t="s">
        <v>115</v>
      </c>
      <c r="D58" s="1094"/>
      <c r="E58" s="1092" t="s">
        <v>115</v>
      </c>
      <c r="F58" s="1092" t="s">
        <v>115</v>
      </c>
      <c r="G58" s="1092" t="s">
        <v>461</v>
      </c>
      <c r="H58" s="1092" t="s">
        <v>461</v>
      </c>
    </row>
    <row r="59" spans="1:14" ht="15" customHeight="1" x14ac:dyDescent="0.2">
      <c r="A59" s="394">
        <f>B32</f>
        <v>2011</v>
      </c>
      <c r="B59" s="411">
        <f>C32</f>
        <v>111</v>
      </c>
      <c r="C59" s="390">
        <f>G32</f>
        <v>35.846514110937711</v>
      </c>
      <c r="D59" s="390"/>
      <c r="E59" s="390">
        <f>K32</f>
        <v>74.063045683755604</v>
      </c>
      <c r="F59" s="390">
        <f>C59+E59</f>
        <v>109.90955979469331</v>
      </c>
      <c r="G59" s="390">
        <f>F59-B59</f>
        <v>-1.0904402053066917</v>
      </c>
      <c r="H59" s="390">
        <f>G59*(1-J$10)</f>
        <v>-0.66556806096914256</v>
      </c>
    </row>
    <row r="60" spans="1:14" ht="15" customHeight="1" x14ac:dyDescent="0.2">
      <c r="A60" s="395">
        <f>B33</f>
        <v>2012</v>
      </c>
      <c r="B60" s="410">
        <f>C33</f>
        <v>108</v>
      </c>
      <c r="C60" s="373">
        <f>G33</f>
        <v>32.539760731818973</v>
      </c>
      <c r="D60" s="373"/>
      <c r="E60" s="373">
        <f>K33</f>
        <v>74.063045683755604</v>
      </c>
      <c r="F60" s="373">
        <f>C60+E60</f>
        <v>106.60280641557458</v>
      </c>
      <c r="G60" s="373">
        <f>F60-B60</f>
        <v>-1.3971935844254233</v>
      </c>
      <c r="H60" s="373">
        <f>G60*(1-J$10)</f>
        <v>-0.85280001623106716</v>
      </c>
    </row>
    <row r="61" spans="1:14" ht="15" customHeight="1" x14ac:dyDescent="0.2">
      <c r="A61" s="395">
        <f t="shared" ref="A61:B78" si="11">B34</f>
        <v>2013</v>
      </c>
      <c r="B61" s="410">
        <f t="shared" si="11"/>
        <v>100</v>
      </c>
      <c r="C61" s="373">
        <f t="shared" ref="C61:C78" si="12">G34</f>
        <v>29.219510204019006</v>
      </c>
      <c r="D61" s="373"/>
      <c r="E61" s="373">
        <f t="shared" ref="E61:E78" si="13">K34</f>
        <v>74.063045683755604</v>
      </c>
      <c r="F61" s="373">
        <f t="shared" ref="F61:F78" si="14">C61+E61</f>
        <v>103.28255588777461</v>
      </c>
      <c r="G61" s="373">
        <f t="shared" ref="G61:G78" si="15">F61-B61</f>
        <v>3.2825558877746062</v>
      </c>
      <c r="H61" s="373">
        <f t="shared" ref="H61:H78" si="16">G61*(1-J$10)</f>
        <v>2.0035618153262345</v>
      </c>
      <c r="L61" s="325"/>
      <c r="M61" s="325"/>
      <c r="N61" s="325"/>
    </row>
    <row r="62" spans="1:14" ht="15" customHeight="1" x14ac:dyDescent="0.2">
      <c r="A62" s="395">
        <f t="shared" si="11"/>
        <v>2014</v>
      </c>
      <c r="B62" s="410">
        <f t="shared" si="11"/>
        <v>96</v>
      </c>
      <c r="C62" s="373">
        <f t="shared" si="12"/>
        <v>26.105168652995843</v>
      </c>
      <c r="D62" s="373"/>
      <c r="E62" s="373">
        <f t="shared" si="13"/>
        <v>74.063045683755604</v>
      </c>
      <c r="F62" s="373">
        <f t="shared" si="14"/>
        <v>100.16821433675145</v>
      </c>
      <c r="G62" s="373">
        <f t="shared" si="15"/>
        <v>4.168214336751447</v>
      </c>
      <c r="H62" s="373">
        <f t="shared" si="16"/>
        <v>2.5441379731914555</v>
      </c>
      <c r="L62" s="325"/>
      <c r="M62" s="325"/>
      <c r="N62" s="325"/>
    </row>
    <row r="63" spans="1:14" ht="15" customHeight="1" x14ac:dyDescent="0.2">
      <c r="A63" s="395">
        <f t="shared" si="11"/>
        <v>2015</v>
      </c>
      <c r="B63" s="410">
        <f t="shared" si="11"/>
        <v>92</v>
      </c>
      <c r="C63" s="373">
        <f t="shared" si="12"/>
        <v>23.029796073727663</v>
      </c>
      <c r="D63" s="373"/>
      <c r="E63" s="373">
        <f t="shared" si="13"/>
        <v>74.063045683755604</v>
      </c>
      <c r="F63" s="373">
        <f t="shared" si="14"/>
        <v>97.092841757483271</v>
      </c>
      <c r="G63" s="373">
        <f t="shared" si="15"/>
        <v>5.0928417574832707</v>
      </c>
      <c r="H63" s="373">
        <f t="shared" si="16"/>
        <v>3.1084994820027472</v>
      </c>
      <c r="L63" s="325"/>
      <c r="M63" s="325"/>
      <c r="N63" s="325"/>
    </row>
    <row r="64" spans="1:14" ht="15" customHeight="1" x14ac:dyDescent="0.2">
      <c r="A64" s="395">
        <f t="shared" si="11"/>
        <v>2016</v>
      </c>
      <c r="B64" s="410">
        <f t="shared" si="11"/>
        <v>92</v>
      </c>
      <c r="C64" s="373">
        <f t="shared" si="12"/>
        <v>19.99510710097168</v>
      </c>
      <c r="D64" s="373"/>
      <c r="E64" s="373">
        <f t="shared" si="13"/>
        <v>74.063045683755604</v>
      </c>
      <c r="F64" s="373">
        <f t="shared" si="14"/>
        <v>94.058152784727284</v>
      </c>
      <c r="G64" s="373">
        <f t="shared" si="15"/>
        <v>2.0581527847272838</v>
      </c>
      <c r="H64" s="373">
        <f t="shared" si="16"/>
        <v>1.2562273029211215</v>
      </c>
      <c r="L64" s="325"/>
      <c r="M64" s="325"/>
      <c r="N64" s="325"/>
    </row>
    <row r="65" spans="1:14" ht="15" customHeight="1" x14ac:dyDescent="0.2">
      <c r="A65" s="395">
        <f t="shared" si="11"/>
        <v>2017</v>
      </c>
      <c r="B65" s="410">
        <f t="shared" si="11"/>
        <v>92</v>
      </c>
      <c r="C65" s="373">
        <f t="shared" si="12"/>
        <v>16.826891813414431</v>
      </c>
      <c r="D65" s="373"/>
      <c r="E65" s="373">
        <f t="shared" si="13"/>
        <v>74.063045683755604</v>
      </c>
      <c r="F65" s="373">
        <f t="shared" si="14"/>
        <v>90.889937497170038</v>
      </c>
      <c r="G65" s="373">
        <f t="shared" si="15"/>
        <v>-1.1100625028299618</v>
      </c>
      <c r="H65" s="373">
        <f t="shared" si="16"/>
        <v>-0.67754485204009285</v>
      </c>
      <c r="L65" s="325"/>
      <c r="M65" s="325"/>
      <c r="N65" s="325"/>
    </row>
    <row r="66" spans="1:14" ht="15" customHeight="1" x14ac:dyDescent="0.2">
      <c r="A66" s="395">
        <f t="shared" si="11"/>
        <v>2018</v>
      </c>
      <c r="B66" s="410">
        <f t="shared" si="11"/>
        <v>92</v>
      </c>
      <c r="C66" s="373">
        <f t="shared" si="12"/>
        <v>13.519275053204666</v>
      </c>
      <c r="D66" s="373"/>
      <c r="E66" s="373">
        <f t="shared" si="13"/>
        <v>74.063045683755604</v>
      </c>
      <c r="F66" s="373">
        <f t="shared" si="14"/>
        <v>87.58232073696027</v>
      </c>
      <c r="G66" s="373">
        <f t="shared" si="15"/>
        <v>-4.4176792630397301</v>
      </c>
      <c r="H66" s="373">
        <f t="shared" si="16"/>
        <v>-2.6964029818196029</v>
      </c>
    </row>
    <row r="67" spans="1:14" ht="15" customHeight="1" x14ac:dyDescent="0.2">
      <c r="A67" s="395">
        <f t="shared" si="11"/>
        <v>2019</v>
      </c>
      <c r="B67" s="410">
        <f t="shared" si="11"/>
        <v>92</v>
      </c>
      <c r="C67" s="373">
        <f t="shared" si="12"/>
        <v>10.066123155545672</v>
      </c>
      <c r="D67" s="373"/>
      <c r="E67" s="373">
        <f t="shared" si="13"/>
        <v>74.063045683755604</v>
      </c>
      <c r="F67" s="373">
        <f t="shared" si="14"/>
        <v>84.129168839301272</v>
      </c>
      <c r="G67" s="373">
        <f t="shared" si="15"/>
        <v>-7.870831160698728</v>
      </c>
      <c r="H67" s="373">
        <f t="shared" si="16"/>
        <v>-4.8040908693094115</v>
      </c>
    </row>
    <row r="68" spans="1:14" ht="15" customHeight="1" x14ac:dyDescent="0.2">
      <c r="A68" s="395">
        <f t="shared" si="11"/>
        <v>2020</v>
      </c>
      <c r="B68" s="410">
        <f t="shared" si="11"/>
        <v>92</v>
      </c>
      <c r="C68" s="373">
        <f t="shared" si="12"/>
        <v>6.4610325743896828</v>
      </c>
      <c r="D68" s="373"/>
      <c r="E68" s="373">
        <f t="shared" si="13"/>
        <v>74.063045683755604</v>
      </c>
      <c r="F68" s="373">
        <f t="shared" si="14"/>
        <v>80.524078258145281</v>
      </c>
      <c r="G68" s="373">
        <f t="shared" si="15"/>
        <v>-11.475921741854719</v>
      </c>
      <c r="H68" s="373">
        <f t="shared" si="16"/>
        <v>-7.00451702384877</v>
      </c>
    </row>
    <row r="69" spans="1:14" ht="15" customHeight="1" x14ac:dyDescent="0.2">
      <c r="A69" s="395">
        <f t="shared" si="11"/>
        <v>2021</v>
      </c>
      <c r="B69" s="410">
        <f t="shared" si="11"/>
        <v>64</v>
      </c>
      <c r="C69" s="373">
        <f t="shared" si="12"/>
        <v>2.6973180076628283</v>
      </c>
      <c r="D69" s="373"/>
      <c r="E69" s="373">
        <f t="shared" si="13"/>
        <v>74.063045683755604</v>
      </c>
      <c r="F69" s="373">
        <f t="shared" si="14"/>
        <v>76.760363691418434</v>
      </c>
      <c r="G69" s="373">
        <f t="shared" si="15"/>
        <v>12.760363691418434</v>
      </c>
      <c r="H69" s="373">
        <f t="shared" si="16"/>
        <v>7.7884972307763993</v>
      </c>
    </row>
    <row r="70" spans="1:14" ht="15" customHeight="1" x14ac:dyDescent="0.2">
      <c r="A70" s="395">
        <f t="shared" si="11"/>
        <v>2022</v>
      </c>
      <c r="B70" s="410">
        <f t="shared" si="11"/>
        <v>0</v>
      </c>
      <c r="C70" s="373">
        <f t="shared" si="12"/>
        <v>-6.8780536821577696E-15</v>
      </c>
      <c r="D70" s="373"/>
      <c r="E70" s="373">
        <f t="shared" si="13"/>
        <v>0</v>
      </c>
      <c r="F70" s="373">
        <f t="shared" si="14"/>
        <v>-6.8780536821577696E-15</v>
      </c>
      <c r="G70" s="373">
        <f t="shared" si="15"/>
        <v>-6.8780536821577696E-15</v>
      </c>
      <c r="H70" s="373">
        <f t="shared" si="16"/>
        <v>-4.1981328551508102E-15</v>
      </c>
    </row>
    <row r="71" spans="1:14" ht="15" customHeight="1" x14ac:dyDescent="0.2">
      <c r="A71" s="395">
        <f t="shared" si="11"/>
        <v>2023</v>
      </c>
      <c r="B71" s="410">
        <f t="shared" si="11"/>
        <v>0</v>
      </c>
      <c r="C71" s="373">
        <f t="shared" si="12"/>
        <v>-7.1806880441727112E-15</v>
      </c>
      <c r="D71" s="373"/>
      <c r="E71" s="373">
        <f t="shared" si="13"/>
        <v>0</v>
      </c>
      <c r="F71" s="373">
        <f t="shared" si="14"/>
        <v>-7.1806880441727112E-15</v>
      </c>
      <c r="G71" s="373">
        <f t="shared" si="15"/>
        <v>-7.1806880441727112E-15</v>
      </c>
      <c r="H71" s="373">
        <f t="shared" si="16"/>
        <v>-4.3828507007774458E-15</v>
      </c>
    </row>
    <row r="72" spans="1:14" ht="15" customHeight="1" x14ac:dyDescent="0.2">
      <c r="A72" s="395">
        <f t="shared" si="11"/>
        <v>2024</v>
      </c>
      <c r="B72" s="410">
        <f t="shared" si="11"/>
        <v>0</v>
      </c>
      <c r="C72" s="373">
        <f t="shared" si="12"/>
        <v>-7.4966383181163096E-15</v>
      </c>
      <c r="D72" s="373"/>
      <c r="E72" s="373">
        <f t="shared" si="13"/>
        <v>0</v>
      </c>
      <c r="F72" s="373">
        <f t="shared" si="14"/>
        <v>-7.4966383181163096E-15</v>
      </c>
      <c r="G72" s="373">
        <f t="shared" si="15"/>
        <v>-7.4966383181163096E-15</v>
      </c>
      <c r="H72" s="373">
        <f t="shared" si="16"/>
        <v>-4.5756961316116528E-15</v>
      </c>
    </row>
    <row r="73" spans="1:14" ht="15" customHeight="1" x14ac:dyDescent="0.2">
      <c r="A73" s="395">
        <f t="shared" si="11"/>
        <v>2025</v>
      </c>
      <c r="B73" s="410">
        <f t="shared" si="11"/>
        <v>0</v>
      </c>
      <c r="C73" s="373">
        <f t="shared" si="12"/>
        <v>-7.8264904041134275E-15</v>
      </c>
      <c r="D73" s="373"/>
      <c r="E73" s="373">
        <f t="shared" si="13"/>
        <v>0</v>
      </c>
      <c r="F73" s="373">
        <f t="shared" si="14"/>
        <v>-7.8264904041134275E-15</v>
      </c>
      <c r="G73" s="373">
        <f t="shared" si="15"/>
        <v>-7.8264904041134275E-15</v>
      </c>
      <c r="H73" s="373">
        <f t="shared" si="16"/>
        <v>-4.7770267614025655E-15</v>
      </c>
    </row>
    <row r="74" spans="1:14" ht="15" customHeight="1" x14ac:dyDescent="0.2">
      <c r="A74" s="395">
        <f t="shared" si="11"/>
        <v>2026</v>
      </c>
      <c r="B74" s="410">
        <f t="shared" si="11"/>
        <v>0</v>
      </c>
      <c r="C74" s="373">
        <f t="shared" si="12"/>
        <v>-8.1708559818944182E-15</v>
      </c>
      <c r="D74" s="373"/>
      <c r="E74" s="373">
        <f t="shared" si="13"/>
        <v>0</v>
      </c>
      <c r="F74" s="373">
        <f t="shared" si="14"/>
        <v>-8.1708559818944182E-15</v>
      </c>
      <c r="G74" s="373">
        <f t="shared" si="15"/>
        <v>-8.1708559818944182E-15</v>
      </c>
      <c r="H74" s="373">
        <f t="shared" si="16"/>
        <v>-4.9872159389042791E-15</v>
      </c>
    </row>
    <row r="75" spans="1:14" ht="15" customHeight="1" x14ac:dyDescent="0.2">
      <c r="A75" s="395">
        <f t="shared" si="11"/>
        <v>2027</v>
      </c>
      <c r="B75" s="410">
        <f t="shared" si="11"/>
        <v>0</v>
      </c>
      <c r="C75" s="373">
        <f t="shared" si="12"/>
        <v>-8.5303736450977722E-15</v>
      </c>
      <c r="D75" s="373"/>
      <c r="E75" s="373">
        <f t="shared" si="13"/>
        <v>0</v>
      </c>
      <c r="F75" s="373">
        <f t="shared" si="14"/>
        <v>-8.5303736450977722E-15</v>
      </c>
      <c r="G75" s="373">
        <f t="shared" si="15"/>
        <v>-8.5303736450977722E-15</v>
      </c>
      <c r="H75" s="373">
        <f t="shared" si="16"/>
        <v>-5.2066534402160671E-15</v>
      </c>
    </row>
    <row r="76" spans="1:14" ht="15" customHeight="1" x14ac:dyDescent="0.2">
      <c r="A76" s="395">
        <f t="shared" si="11"/>
        <v>2028</v>
      </c>
      <c r="B76" s="410">
        <f t="shared" si="11"/>
        <v>0</v>
      </c>
      <c r="C76" s="373">
        <f t="shared" si="12"/>
        <v>-8.9057100854820746E-15</v>
      </c>
      <c r="D76" s="373"/>
      <c r="E76" s="373">
        <f t="shared" si="13"/>
        <v>0</v>
      </c>
      <c r="F76" s="373">
        <f t="shared" si="14"/>
        <v>-8.9057100854820746E-15</v>
      </c>
      <c r="G76" s="373">
        <f t="shared" si="15"/>
        <v>-8.9057100854820746E-15</v>
      </c>
      <c r="H76" s="373">
        <f t="shared" si="16"/>
        <v>-5.4357461915855741E-15</v>
      </c>
    </row>
    <row r="77" spans="1:14" ht="15" customHeight="1" x14ac:dyDescent="0.2">
      <c r="A77" s="395">
        <f t="shared" si="11"/>
        <v>2029</v>
      </c>
      <c r="B77" s="410">
        <f t="shared" si="11"/>
        <v>0</v>
      </c>
      <c r="C77" s="373">
        <f t="shared" si="12"/>
        <v>-9.2975613292432861E-15</v>
      </c>
      <c r="D77" s="373"/>
      <c r="E77" s="373">
        <f t="shared" si="13"/>
        <v>0</v>
      </c>
      <c r="F77" s="373">
        <f t="shared" si="14"/>
        <v>-9.2975613292432861E-15</v>
      </c>
      <c r="G77" s="373">
        <f t="shared" si="15"/>
        <v>-9.2975613292432861E-15</v>
      </c>
      <c r="H77" s="373">
        <f t="shared" si="16"/>
        <v>-5.6749190240153396E-15</v>
      </c>
    </row>
    <row r="78" spans="1:14" ht="15" customHeight="1" x14ac:dyDescent="0.2">
      <c r="A78" s="395">
        <f t="shared" si="11"/>
        <v>2030</v>
      </c>
      <c r="B78" s="410">
        <f t="shared" si="11"/>
        <v>0</v>
      </c>
      <c r="C78" s="373">
        <f t="shared" si="12"/>
        <v>-9.7066540277299898E-15</v>
      </c>
      <c r="D78" s="373"/>
      <c r="E78" s="373">
        <f t="shared" si="13"/>
        <v>0</v>
      </c>
      <c r="F78" s="373">
        <f t="shared" si="14"/>
        <v>-9.7066540277299898E-15</v>
      </c>
      <c r="G78" s="373">
        <f t="shared" si="15"/>
        <v>-9.7066540277299898E-15</v>
      </c>
      <c r="H78" s="373">
        <f t="shared" si="16"/>
        <v>-5.9246154610720135E-15</v>
      </c>
    </row>
    <row r="79" spans="1:14" ht="15" customHeight="1" thickBot="1" x14ac:dyDescent="0.25">
      <c r="A79" s="372" t="s">
        <v>441</v>
      </c>
      <c r="B79" s="412">
        <f>SUM(B59:B78)</f>
        <v>1031</v>
      </c>
      <c r="C79" s="412">
        <f>SUM(C59:C78)</f>
        <v>216.30649747868816</v>
      </c>
      <c r="D79" s="412"/>
      <c r="E79" s="412">
        <f>SUM(E59:E78)</f>
        <v>814.69350252131164</v>
      </c>
      <c r="F79" s="412">
        <f>SUM(F59:F78)</f>
        <v>1031</v>
      </c>
      <c r="G79" s="412">
        <f>SUM(G59:G78)</f>
        <v>-2.8715584624603783E-13</v>
      </c>
      <c r="H79" s="412">
        <f>SUM(H59:H78)</f>
        <v>-1.7306054894155376E-13</v>
      </c>
    </row>
    <row r="80" spans="1:14" ht="15" customHeight="1" x14ac:dyDescent="0.2"/>
    <row r="81" spans="1:9" ht="15" customHeight="1" x14ac:dyDescent="0.2">
      <c r="A81" s="397" t="s">
        <v>469</v>
      </c>
      <c r="B81" s="396"/>
      <c r="C81" s="396"/>
      <c r="D81" s="396"/>
      <c r="E81" s="398">
        <f>C10</f>
        <v>2010</v>
      </c>
      <c r="F81" s="396"/>
      <c r="G81" s="399" t="s">
        <v>117</v>
      </c>
      <c r="H81" s="399" t="s">
        <v>118</v>
      </c>
      <c r="I81" s="110"/>
    </row>
    <row r="82" spans="1:9" ht="15" customHeight="1" x14ac:dyDescent="0.2">
      <c r="A82" s="397" t="s">
        <v>470</v>
      </c>
      <c r="B82" s="396"/>
      <c r="C82" s="396"/>
      <c r="D82" s="396"/>
      <c r="E82" s="396"/>
      <c r="F82" s="396"/>
      <c r="G82" s="400">
        <f>ROUND(J31,0)</f>
        <v>815</v>
      </c>
      <c r="H82" s="400"/>
      <c r="I82" s="110"/>
    </row>
    <row r="83" spans="1:9" ht="15" customHeight="1" x14ac:dyDescent="0.2">
      <c r="A83" s="397" t="s">
        <v>471</v>
      </c>
      <c r="B83" s="396"/>
      <c r="C83" s="396"/>
      <c r="D83" s="396"/>
      <c r="E83" s="396"/>
      <c r="F83" s="396"/>
      <c r="G83" s="400"/>
      <c r="H83" s="400">
        <f>ROUND(H32,0)</f>
        <v>75</v>
      </c>
      <c r="I83" s="110"/>
    </row>
    <row r="84" spans="1:9" ht="15" customHeight="1" x14ac:dyDescent="0.2">
      <c r="A84" s="397" t="s">
        <v>472</v>
      </c>
      <c r="B84" s="396"/>
      <c r="C84" s="396"/>
      <c r="D84" s="396"/>
      <c r="E84" s="396"/>
      <c r="F84" s="396"/>
      <c r="G84" s="401"/>
      <c r="H84" s="402">
        <f>ROUND(I31,0)-ROUND(H32,0)</f>
        <v>740</v>
      </c>
      <c r="I84" s="110"/>
    </row>
    <row r="85" spans="1:9" ht="15" customHeight="1" thickBot="1" x14ac:dyDescent="0.25">
      <c r="A85" s="403" t="s">
        <v>468</v>
      </c>
      <c r="B85" s="396"/>
      <c r="C85" s="396"/>
      <c r="D85" s="396"/>
      <c r="E85" s="396"/>
      <c r="F85" s="396"/>
      <c r="G85" s="404">
        <f>SUM(G82:G84)</f>
        <v>815</v>
      </c>
      <c r="H85" s="404">
        <f>SUM(H82:H84)</f>
        <v>815</v>
      </c>
      <c r="I85" s="110"/>
    </row>
    <row r="90" spans="1:9" ht="16.5" customHeight="1" x14ac:dyDescent="0.2">
      <c r="B90" s="110"/>
      <c r="C90" s="110"/>
      <c r="D90" s="110"/>
      <c r="E90" s="110"/>
      <c r="F90" s="110"/>
      <c r="G90" s="111"/>
      <c r="H90" s="111"/>
      <c r="I90" s="110"/>
    </row>
    <row r="93" spans="1:9" ht="16.5" customHeight="1" x14ac:dyDescent="0.2">
      <c r="A93" s="1103" t="s">
        <v>473</v>
      </c>
      <c r="B93" s="1104"/>
      <c r="C93" s="1104"/>
      <c r="D93" s="1104"/>
      <c r="E93" s="1105">
        <f>J7</f>
        <v>2011</v>
      </c>
      <c r="F93" s="1104"/>
      <c r="G93" s="1106" t="s">
        <v>117</v>
      </c>
      <c r="H93" s="1106" t="s">
        <v>118</v>
      </c>
      <c r="I93" s="1106" t="s">
        <v>462</v>
      </c>
    </row>
    <row r="94" spans="1:9" ht="16.5" customHeight="1" x14ac:dyDescent="0.2">
      <c r="A94" s="325" t="s">
        <v>559</v>
      </c>
      <c r="B94" s="110"/>
      <c r="C94" s="110"/>
      <c r="D94" s="110"/>
      <c r="E94" s="110"/>
      <c r="F94" s="110"/>
      <c r="G94" s="120">
        <f>ROUND(C59,0)</f>
        <v>36</v>
      </c>
      <c r="I94" s="1109">
        <f>-G94</f>
        <v>-36</v>
      </c>
    </row>
    <row r="95" spans="1:9" ht="16.5" customHeight="1" x14ac:dyDescent="0.2">
      <c r="A95" s="325" t="s">
        <v>476</v>
      </c>
      <c r="B95" s="110"/>
      <c r="C95" s="110"/>
      <c r="D95" s="110"/>
      <c r="E95" s="110"/>
      <c r="F95" s="110"/>
      <c r="G95" s="31">
        <f>ROUND(E59,0)</f>
        <v>74</v>
      </c>
      <c r="I95" s="1110">
        <f>-G95</f>
        <v>-74</v>
      </c>
    </row>
    <row r="96" spans="1:9" ht="16.5" customHeight="1" x14ac:dyDescent="0.2">
      <c r="A96" s="325" t="s">
        <v>1017</v>
      </c>
      <c r="B96" s="110"/>
      <c r="C96" s="110"/>
      <c r="D96" s="110"/>
      <c r="E96" s="110"/>
      <c r="F96" s="110"/>
      <c r="G96" s="31">
        <f>IF(G94+G95-H97&lt;0,-(-ROUND(B59,0)+ROUND(C59,0)+ROUND(E59,0)-(ROUND(G59,0)-ROUND(H59,0)))," ")</f>
        <v>1</v>
      </c>
      <c r="H96" s="31" t="str">
        <f>IF(G94+G95-H97&gt;0,-ROUND(B59,0)+ROUND(C59,0)+ROUND(E59,0)-(ROUND(G59,0)-ROUND(H59,0))," ")</f>
        <v xml:space="preserve"> </v>
      </c>
      <c r="I96" s="1111" t="s">
        <v>119</v>
      </c>
    </row>
    <row r="97" spans="1:17" ht="16.5" customHeight="1" x14ac:dyDescent="0.2">
      <c r="A97" s="325" t="s">
        <v>477</v>
      </c>
      <c r="B97" s="110"/>
      <c r="C97" s="110"/>
      <c r="D97" s="110"/>
      <c r="E97" s="110"/>
      <c r="F97" s="110"/>
      <c r="H97" s="31">
        <f>ROUND(B59,0)</f>
        <v>111</v>
      </c>
      <c r="I97" s="1110">
        <f>H97</f>
        <v>111</v>
      </c>
    </row>
    <row r="98" spans="1:17" ht="16.5" customHeight="1" x14ac:dyDescent="0.2">
      <c r="A98" s="325" t="s">
        <v>1018</v>
      </c>
      <c r="B98" s="110"/>
      <c r="C98" s="110"/>
      <c r="D98" s="110"/>
      <c r="E98" s="110"/>
      <c r="F98" s="110"/>
      <c r="G98" s="31">
        <f>IF(G94+G95-H97&lt;0,-(ROUND(G59,0)-ROUND(H59,0)),0)</f>
        <v>0</v>
      </c>
      <c r="H98" s="31">
        <f>IF(G94+G95-H97&gt;0,ROUND(G59,0)-ROUND(H59,0),0)</f>
        <v>0</v>
      </c>
      <c r="I98" s="1110">
        <f>IF(G98=" ",H98,-G98)</f>
        <v>0</v>
      </c>
    </row>
    <row r="99" spans="1:17" ht="16.5" customHeight="1" thickBot="1" x14ac:dyDescent="0.25">
      <c r="A99" s="1107" t="s">
        <v>468</v>
      </c>
      <c r="B99" s="1104"/>
      <c r="C99" s="1104"/>
      <c r="D99" s="1104"/>
      <c r="E99" s="1104"/>
      <c r="F99" s="1104"/>
      <c r="G99" s="1108">
        <f>SUM(G94:G98)</f>
        <v>111</v>
      </c>
      <c r="H99" s="1108">
        <f>SUM(H94:H98)</f>
        <v>111</v>
      </c>
      <c r="I99" s="1108">
        <f>SUM(I94:I98)</f>
        <v>1</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drawing r:id="rId2"/>
  <legacyDrawing r:id="rId3"/>
  <extLst>
    <ext xmlns:mx="http://schemas.microsoft.com/office/mac/excel/2008/main" uri="http://schemas.microsoft.com/office/mac/excel/2008/main">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865900"/>
  </sheetPr>
  <dimension ref="A1:Z107"/>
  <sheetViews>
    <sheetView view="pageBreakPreview" zoomScaleSheetLayoutView="100" workbookViewId="0">
      <selection activeCell="J12" sqref="J12"/>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26" s="575" customFormat="1" ht="15" customHeight="1" x14ac:dyDescent="0.2">
      <c r="A1" s="572" t="s">
        <v>363</v>
      </c>
      <c r="B1" s="572"/>
      <c r="C1" s="572"/>
      <c r="D1" s="573"/>
      <c r="E1" s="573"/>
      <c r="F1" s="574"/>
      <c r="G1" s="574"/>
      <c r="H1" s="574"/>
      <c r="I1" s="574"/>
      <c r="J1" s="574"/>
      <c r="K1" s="574"/>
      <c r="L1" s="574" t="s">
        <v>1075</v>
      </c>
      <c r="M1" s="574" t="s">
        <v>1075</v>
      </c>
      <c r="N1" s="574" t="s">
        <v>1075</v>
      </c>
      <c r="O1" s="574" t="s">
        <v>1075</v>
      </c>
      <c r="P1" s="574" t="s">
        <v>1075</v>
      </c>
      <c r="Q1" s="574" t="s">
        <v>1075</v>
      </c>
      <c r="R1" s="574" t="s">
        <v>1075</v>
      </c>
      <c r="S1" s="574" t="s">
        <v>1075</v>
      </c>
      <c r="T1" s="574" t="s">
        <v>1075</v>
      </c>
      <c r="U1" s="574" t="s">
        <v>1075</v>
      </c>
      <c r="V1" s="574" t="s">
        <v>1075</v>
      </c>
      <c r="W1" s="574" t="s">
        <v>1075</v>
      </c>
      <c r="X1" s="574" t="s">
        <v>1075</v>
      </c>
      <c r="Y1" s="574" t="s">
        <v>1075</v>
      </c>
      <c r="Z1" s="574" t="s">
        <v>1075</v>
      </c>
    </row>
    <row r="2" spans="1:26" ht="15" customHeight="1" x14ac:dyDescent="0.2">
      <c r="A2" s="392"/>
      <c r="B2" s="347"/>
      <c r="C2" s="347"/>
      <c r="D2" s="348"/>
      <c r="E2" s="348"/>
      <c r="J2" s="39"/>
    </row>
    <row r="3" spans="1:26" ht="15" customHeight="1" x14ac:dyDescent="0.2">
      <c r="A3" s="392"/>
      <c r="B3" s="347"/>
      <c r="C3" s="347"/>
      <c r="D3" s="348"/>
      <c r="E3" s="348"/>
      <c r="J3" s="39"/>
    </row>
    <row r="4" spans="1:26" ht="15" customHeight="1" x14ac:dyDescent="0.2">
      <c r="A4" s="347"/>
      <c r="B4" s="347"/>
      <c r="C4" s="347"/>
      <c r="D4" s="348"/>
      <c r="E4" s="348"/>
      <c r="J4" s="39"/>
    </row>
    <row r="5" spans="1:26" ht="15" customHeight="1" x14ac:dyDescent="0.2">
      <c r="A5" s="347"/>
      <c r="B5" s="347"/>
      <c r="C5" s="347"/>
      <c r="D5" s="348"/>
      <c r="E5" s="348"/>
      <c r="J5" s="39"/>
    </row>
    <row r="6" spans="1:26" ht="15" customHeight="1" x14ac:dyDescent="0.2">
      <c r="J6" s="39"/>
      <c r="L6" s="325"/>
      <c r="M6" s="325"/>
      <c r="N6" s="325"/>
    </row>
    <row r="7" spans="1:26" ht="15" customHeight="1" x14ac:dyDescent="0.2">
      <c r="A7" s="543" t="s">
        <v>611</v>
      </c>
      <c r="G7" s="31" t="s">
        <v>304</v>
      </c>
      <c r="J7" s="380">
        <f>C10+1</f>
        <v>2012</v>
      </c>
      <c r="L7" s="325"/>
      <c r="M7" s="325"/>
      <c r="N7" s="325"/>
    </row>
    <row r="8" spans="1:26" ht="15" customHeight="1" x14ac:dyDescent="0.2">
      <c r="G8" s="31" t="s">
        <v>33</v>
      </c>
      <c r="J8" s="381">
        <f>'IS Analysis Adjustments'!L26</f>
        <v>1185</v>
      </c>
      <c r="L8" s="325"/>
      <c r="M8" s="325"/>
      <c r="N8" s="325"/>
    </row>
    <row r="9" spans="1:26" ht="15" customHeight="1" x14ac:dyDescent="0.2">
      <c r="C9" s="39"/>
      <c r="D9" s="36"/>
      <c r="E9" s="36"/>
      <c r="F9" s="39"/>
      <c r="G9" s="31" t="s">
        <v>1070</v>
      </c>
      <c r="J9" s="381">
        <f>'IS Analysis Adjustments'!L27</f>
        <v>450</v>
      </c>
      <c r="L9" s="325"/>
      <c r="M9" s="325"/>
      <c r="N9" s="325"/>
    </row>
    <row r="10" spans="1:26" ht="15" customHeight="1" x14ac:dyDescent="0.2">
      <c r="A10" s="31" t="s">
        <v>463</v>
      </c>
      <c r="B10" s="39"/>
      <c r="C10" s="576">
        <f>'IS Analysis Adjustments'!B1</f>
        <v>2011</v>
      </c>
      <c r="G10" s="39" t="s">
        <v>337</v>
      </c>
      <c r="H10" s="39"/>
      <c r="I10" s="39"/>
      <c r="J10" s="44">
        <f>J9/J8</f>
        <v>0.379746835443038</v>
      </c>
      <c r="L10" s="325"/>
      <c r="M10" s="325"/>
      <c r="N10" s="325"/>
    </row>
    <row r="11" spans="1:26" ht="15" customHeight="1" x14ac:dyDescent="0.2">
      <c r="C11" s="36"/>
      <c r="D11" s="36"/>
      <c r="E11" s="36"/>
      <c r="F11" s="36"/>
      <c r="G11" s="39" t="s">
        <v>305</v>
      </c>
      <c r="H11" s="39"/>
      <c r="I11" s="39"/>
      <c r="J11" s="379">
        <v>4.3999999999999997E-2</v>
      </c>
      <c r="L11" s="325"/>
      <c r="M11" s="325"/>
      <c r="N11" s="325"/>
    </row>
    <row r="12" spans="1:26" ht="15" customHeight="1" x14ac:dyDescent="0.2">
      <c r="B12" s="347"/>
      <c r="C12" s="378" t="s">
        <v>306</v>
      </c>
      <c r="D12" s="378"/>
      <c r="E12" s="378"/>
      <c r="F12" s="378"/>
    </row>
    <row r="13" spans="1:26" ht="15" customHeight="1" x14ac:dyDescent="0.2">
      <c r="B13" s="351" t="s">
        <v>63</v>
      </c>
      <c r="C13" s="350" t="s">
        <v>110</v>
      </c>
      <c r="D13" s="350"/>
      <c r="E13" s="383" t="s">
        <v>307</v>
      </c>
      <c r="F13" s="383" t="s">
        <v>45</v>
      </c>
      <c r="I13" s="216"/>
    </row>
    <row r="14" spans="1:26" ht="15" customHeight="1" x14ac:dyDescent="0.2">
      <c r="A14" s="352">
        <v>1</v>
      </c>
      <c r="B14" s="382">
        <f>C10+1</f>
        <v>2012</v>
      </c>
      <c r="C14" s="1251">
        <v>122</v>
      </c>
      <c r="D14" s="66"/>
      <c r="E14" s="384" t="s">
        <v>464</v>
      </c>
      <c r="F14" s="384" t="s">
        <v>464</v>
      </c>
    </row>
    <row r="15" spans="1:26" ht="15" customHeight="1" x14ac:dyDescent="0.2">
      <c r="A15" s="352">
        <v>2</v>
      </c>
      <c r="B15" s="382">
        <f>B14+1</f>
        <v>2013</v>
      </c>
      <c r="C15" s="1252">
        <v>118</v>
      </c>
      <c r="D15" s="32"/>
      <c r="E15" s="270"/>
      <c r="F15" s="270"/>
    </row>
    <row r="16" spans="1:26" ht="15" customHeight="1" x14ac:dyDescent="0.2">
      <c r="A16" s="352">
        <v>3</v>
      </c>
      <c r="B16" s="382">
        <f>B15+1</f>
        <v>2014</v>
      </c>
      <c r="C16" s="1252">
        <v>111</v>
      </c>
      <c r="D16" s="32"/>
      <c r="E16" s="270"/>
      <c r="F16" s="270"/>
    </row>
    <row r="17" spans="1:14" ht="15" customHeight="1" x14ac:dyDescent="0.2">
      <c r="A17" s="352">
        <v>4</v>
      </c>
      <c r="B17" s="382">
        <f>B16+1</f>
        <v>2015</v>
      </c>
      <c r="C17" s="1252">
        <v>106</v>
      </c>
      <c r="D17" s="32"/>
      <c r="E17" s="270"/>
      <c r="F17" s="270"/>
    </row>
    <row r="18" spans="1:14" ht="15" customHeight="1" x14ac:dyDescent="0.2">
      <c r="A18" s="352">
        <v>5</v>
      </c>
      <c r="B18" s="382">
        <f>B17+1</f>
        <v>2016</v>
      </c>
      <c r="C18" s="1252">
        <v>100</v>
      </c>
      <c r="D18" s="353" t="s">
        <v>156</v>
      </c>
      <c r="E18" s="270"/>
      <c r="F18" s="270"/>
    </row>
    <row r="19" spans="1:14" ht="15" customHeight="1" x14ac:dyDescent="0.2">
      <c r="A19" s="354"/>
      <c r="B19" s="355" t="s">
        <v>112</v>
      </c>
      <c r="C19" s="1253">
        <v>506</v>
      </c>
      <c r="D19" s="356" t="s">
        <v>155</v>
      </c>
      <c r="E19" s="270"/>
      <c r="F19" s="270"/>
    </row>
    <row r="20" spans="1:14" ht="15" customHeight="1" thickBot="1" x14ac:dyDescent="0.25">
      <c r="B20" s="352" t="s">
        <v>45</v>
      </c>
      <c r="C20" s="237">
        <f>SUM(C14:C19)</f>
        <v>1063</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6</v>
      </c>
    </row>
    <row r="23" spans="1:14" ht="15" customHeight="1" x14ac:dyDescent="0.2">
      <c r="A23" s="112" t="s">
        <v>466</v>
      </c>
      <c r="F23" s="358">
        <f>IF(A18+F22&gt;20,20,A18+F22)</f>
        <v>11</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s="346" customFormat="1" ht="15" customHeight="1" x14ac:dyDescent="0.2">
      <c r="A28" s="1086" t="s">
        <v>423</v>
      </c>
      <c r="B28" s="1086" t="s">
        <v>424</v>
      </c>
      <c r="C28" s="1086"/>
      <c r="D28" s="1087"/>
      <c r="E28" s="1088"/>
      <c r="F28" s="1086" t="s">
        <v>425</v>
      </c>
      <c r="G28" s="1086"/>
      <c r="H28" s="1086" t="s">
        <v>426</v>
      </c>
      <c r="I28" s="1086"/>
      <c r="J28" s="1086" t="s">
        <v>427</v>
      </c>
      <c r="K28" s="1086" t="s">
        <v>428</v>
      </c>
    </row>
    <row r="29" spans="1:14" s="346" customFormat="1" ht="15" customHeight="1" x14ac:dyDescent="0.2">
      <c r="A29" s="1089" t="s">
        <v>429</v>
      </c>
      <c r="B29" s="1089" t="s">
        <v>430</v>
      </c>
      <c r="C29" s="1089"/>
      <c r="D29" s="1090"/>
      <c r="E29" s="1091"/>
      <c r="F29" s="1089" t="s">
        <v>431</v>
      </c>
      <c r="G29" s="1089" t="s">
        <v>432</v>
      </c>
      <c r="H29" s="1089" t="s">
        <v>433</v>
      </c>
      <c r="I29" s="1089" t="s">
        <v>114</v>
      </c>
      <c r="J29" s="1089" t="s">
        <v>434</v>
      </c>
      <c r="K29" s="1089" t="s">
        <v>435</v>
      </c>
    </row>
    <row r="30" spans="1:14" s="346" customFormat="1"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row>
    <row r="31" spans="1:14" ht="15" customHeight="1" x14ac:dyDescent="0.2">
      <c r="A31" s="130">
        <v>0</v>
      </c>
      <c r="B31" s="386">
        <f>C10</f>
        <v>2011</v>
      </c>
      <c r="C31" s="111"/>
      <c r="D31" s="33"/>
      <c r="F31" s="33"/>
      <c r="G31" s="33"/>
      <c r="H31" s="365"/>
      <c r="I31" s="393">
        <f>F52</f>
        <v>851.2182842923927</v>
      </c>
      <c r="J31" s="393">
        <f>I31</f>
        <v>851.2182842923927</v>
      </c>
      <c r="K31" s="365"/>
      <c r="L31" s="325"/>
      <c r="M31" s="325"/>
      <c r="N31" s="325"/>
    </row>
    <row r="32" spans="1:14" ht="15" customHeight="1" x14ac:dyDescent="0.2">
      <c r="A32" s="1152">
        <v>1</v>
      </c>
      <c r="B32" s="855">
        <f t="shared" ref="B32:C36" si="0">B14</f>
        <v>2012</v>
      </c>
      <c r="C32" s="1151">
        <f t="shared" si="0"/>
        <v>122</v>
      </c>
      <c r="D32" s="365"/>
      <c r="E32" s="366">
        <f t="shared" ref="E32:E51" si="1">1/(1+J$11)^A32</f>
        <v>0.95785440613026818</v>
      </c>
      <c r="F32" s="388">
        <f>C32*E32</f>
        <v>116.85823754789271</v>
      </c>
      <c r="G32" s="389">
        <f>I31*J$11</f>
        <v>37.453604508865276</v>
      </c>
      <c r="H32" s="390">
        <f>C32-G32</f>
        <v>84.546395491134717</v>
      </c>
      <c r="I32" s="347">
        <f>I31-H32</f>
        <v>766.67188880125798</v>
      </c>
      <c r="J32" s="365">
        <f>J31-K32</f>
        <v>773.83480390217517</v>
      </c>
      <c r="K32" s="391">
        <f>IF(A32&gt;F$23,0,I$31/F$23)</f>
        <v>77.383480390217514</v>
      </c>
      <c r="L32" s="365"/>
      <c r="M32" s="365"/>
      <c r="N32" s="365"/>
    </row>
    <row r="33" spans="1:17" ht="15" customHeight="1" x14ac:dyDescent="0.2">
      <c r="A33" s="93">
        <v>2</v>
      </c>
      <c r="B33" s="855">
        <f t="shared" si="0"/>
        <v>2013</v>
      </c>
      <c r="C33" s="32">
        <f t="shared" si="0"/>
        <v>118</v>
      </c>
      <c r="E33" s="366">
        <f t="shared" si="1"/>
        <v>0.91748506334316871</v>
      </c>
      <c r="F33" s="365">
        <f>C33*E33</f>
        <v>108.26323747449391</v>
      </c>
      <c r="G33" s="372">
        <f>I32*J$11</f>
        <v>33.73356310725535</v>
      </c>
      <c r="H33" s="373">
        <f>C33-G33</f>
        <v>84.26643689274465</v>
      </c>
      <c r="I33" s="373">
        <f>I32-H33</f>
        <v>682.40545190851333</v>
      </c>
      <c r="J33" s="365">
        <f t="shared" ref="J33:J51" si="2">J32-K33</f>
        <v>696.45132351195764</v>
      </c>
      <c r="K33" s="373">
        <f>IF(A33&gt;F$23,0,I$31/F$23)</f>
        <v>77.383480390217514</v>
      </c>
    </row>
    <row r="34" spans="1:17" ht="15" customHeight="1" x14ac:dyDescent="0.2">
      <c r="A34" s="93">
        <v>3</v>
      </c>
      <c r="B34" s="855">
        <f t="shared" si="0"/>
        <v>2014</v>
      </c>
      <c r="C34" s="32">
        <f t="shared" si="0"/>
        <v>111</v>
      </c>
      <c r="E34" s="366">
        <f t="shared" si="1"/>
        <v>0.87881711048196232</v>
      </c>
      <c r="F34" s="365">
        <f t="shared" ref="F34:F51" si="3">C34*E34</f>
        <v>97.548699263497824</v>
      </c>
      <c r="G34" s="372">
        <f t="shared" ref="G34:G51" si="4">I33*J$11</f>
        <v>30.025839883974584</v>
      </c>
      <c r="H34" s="373">
        <f t="shared" ref="H34:H51" si="5">C34-G34</f>
        <v>80.974160116025416</v>
      </c>
      <c r="I34" s="373">
        <f t="shared" ref="I34:I51" si="6">I33-H34</f>
        <v>601.43129179248785</v>
      </c>
      <c r="J34" s="365">
        <f t="shared" si="2"/>
        <v>619.06784312174011</v>
      </c>
      <c r="K34" s="373">
        <f t="shared" ref="K34:K51" si="7">IF(A34&gt;F$23,0,I$31/F$23)</f>
        <v>77.383480390217514</v>
      </c>
    </row>
    <row r="35" spans="1:17" s="31" customFormat="1" ht="15" customHeight="1" x14ac:dyDescent="0.2">
      <c r="A35" s="93">
        <v>4</v>
      </c>
      <c r="B35" s="855">
        <f t="shared" si="0"/>
        <v>2015</v>
      </c>
      <c r="C35" s="32">
        <f t="shared" si="0"/>
        <v>106</v>
      </c>
      <c r="E35" s="366">
        <f t="shared" si="1"/>
        <v>0.84177884145781834</v>
      </c>
      <c r="F35" s="365">
        <f t="shared" si="3"/>
        <v>89.228557194528747</v>
      </c>
      <c r="G35" s="372">
        <f t="shared" si="4"/>
        <v>26.462976838869466</v>
      </c>
      <c r="H35" s="373">
        <f t="shared" si="5"/>
        <v>79.537023161130534</v>
      </c>
      <c r="I35" s="373">
        <f t="shared" si="6"/>
        <v>521.89426863135736</v>
      </c>
      <c r="J35" s="365">
        <f t="shared" si="2"/>
        <v>541.68436273152258</v>
      </c>
      <c r="K35" s="373">
        <f t="shared" si="7"/>
        <v>77.383480390217514</v>
      </c>
      <c r="O35" s="325"/>
      <c r="P35" s="325"/>
      <c r="Q35" s="325"/>
    </row>
    <row r="36" spans="1:17" s="31" customFormat="1" ht="15" customHeight="1" x14ac:dyDescent="0.2">
      <c r="A36" s="93">
        <v>5</v>
      </c>
      <c r="B36" s="855">
        <f t="shared" si="0"/>
        <v>2016</v>
      </c>
      <c r="C36" s="32">
        <f t="shared" si="0"/>
        <v>100</v>
      </c>
      <c r="E36" s="366">
        <f t="shared" si="1"/>
        <v>0.8063015722776038</v>
      </c>
      <c r="F36" s="365">
        <f t="shared" si="3"/>
        <v>80.630157227760378</v>
      </c>
      <c r="G36" s="372">
        <f t="shared" si="4"/>
        <v>22.963347819779724</v>
      </c>
      <c r="H36" s="373">
        <f t="shared" si="5"/>
        <v>77.036652180220273</v>
      </c>
      <c r="I36" s="373">
        <f t="shared" si="6"/>
        <v>444.85761645113712</v>
      </c>
      <c r="J36" s="365">
        <f t="shared" si="2"/>
        <v>464.30088234130505</v>
      </c>
      <c r="K36" s="373">
        <f t="shared" si="7"/>
        <v>77.383480390217514</v>
      </c>
      <c r="O36" s="325"/>
      <c r="P36" s="325"/>
      <c r="Q36" s="325"/>
    </row>
    <row r="37" spans="1:17" s="31" customFormat="1" ht="15" customHeight="1" x14ac:dyDescent="0.2">
      <c r="A37" s="93">
        <f t="shared" ref="A37:B51" si="8">A36+1</f>
        <v>6</v>
      </c>
      <c r="B37" s="855">
        <f>B36+1</f>
        <v>2017</v>
      </c>
      <c r="C37" s="1153">
        <f>IF(A37&gt;F$23,0,IF(A37=F$23,C$20-SUM(C$32:C36),C$18))</f>
        <v>100</v>
      </c>
      <c r="E37" s="366">
        <f t="shared" si="1"/>
        <v>0.7723195136758656</v>
      </c>
      <c r="F37" s="365">
        <f t="shared" si="3"/>
        <v>77.231951367586561</v>
      </c>
      <c r="G37" s="372">
        <f t="shared" si="4"/>
        <v>19.573735123850032</v>
      </c>
      <c r="H37" s="373">
        <f t="shared" si="5"/>
        <v>80.426264876149972</v>
      </c>
      <c r="I37" s="373">
        <f t="shared" si="6"/>
        <v>364.43135157498716</v>
      </c>
      <c r="J37" s="365">
        <f t="shared" si="2"/>
        <v>386.91740195108753</v>
      </c>
      <c r="K37" s="373">
        <f t="shared" si="7"/>
        <v>77.383480390217514</v>
      </c>
      <c r="O37" s="325"/>
      <c r="P37" s="325"/>
      <c r="Q37" s="325"/>
    </row>
    <row r="38" spans="1:17" s="31" customFormat="1" ht="15" customHeight="1" x14ac:dyDescent="0.2">
      <c r="A38" s="93">
        <f t="shared" si="8"/>
        <v>7</v>
      </c>
      <c r="B38" s="855">
        <f t="shared" si="8"/>
        <v>2018</v>
      </c>
      <c r="C38" s="1153">
        <f>IF(A38&gt;F$23,0,IF(A38=F$23,C$20-SUM(C$32:C37),C$18))</f>
        <v>100</v>
      </c>
      <c r="E38" s="366">
        <f t="shared" si="1"/>
        <v>0.7397696491148138</v>
      </c>
      <c r="F38" s="365">
        <f t="shared" si="3"/>
        <v>73.976964911481375</v>
      </c>
      <c r="G38" s="372">
        <f t="shared" si="4"/>
        <v>16.034979469299433</v>
      </c>
      <c r="H38" s="373">
        <f t="shared" si="5"/>
        <v>83.965020530700571</v>
      </c>
      <c r="I38" s="373">
        <f t="shared" si="6"/>
        <v>280.46633104428656</v>
      </c>
      <c r="J38" s="365">
        <f t="shared" si="2"/>
        <v>309.53392156087</v>
      </c>
      <c r="K38" s="373">
        <f t="shared" si="7"/>
        <v>77.383480390217514</v>
      </c>
      <c r="O38" s="325"/>
      <c r="P38" s="325"/>
      <c r="Q38" s="325"/>
    </row>
    <row r="39" spans="1:17" s="31" customFormat="1" ht="15" customHeight="1" x14ac:dyDescent="0.2">
      <c r="A39" s="93">
        <f t="shared" si="8"/>
        <v>8</v>
      </c>
      <c r="B39" s="855">
        <f t="shared" si="8"/>
        <v>2019</v>
      </c>
      <c r="C39" s="1153">
        <f>IF(A39&gt;F$23,0,IF(A39=F$23,C$20-SUM(C$32:C38),C$18))</f>
        <v>100</v>
      </c>
      <c r="E39" s="366">
        <f t="shared" si="1"/>
        <v>0.70859161792606684</v>
      </c>
      <c r="F39" s="365">
        <f t="shared" si="3"/>
        <v>70.859161792606685</v>
      </c>
      <c r="G39" s="372">
        <f t="shared" si="4"/>
        <v>12.340518565948608</v>
      </c>
      <c r="H39" s="373">
        <f t="shared" si="5"/>
        <v>87.659481434051386</v>
      </c>
      <c r="I39" s="373">
        <f t="shared" si="6"/>
        <v>192.80684961023519</v>
      </c>
      <c r="J39" s="365">
        <f t="shared" si="2"/>
        <v>232.15044117065247</v>
      </c>
      <c r="K39" s="373">
        <f t="shared" si="7"/>
        <v>77.383480390217514</v>
      </c>
      <c r="O39" s="325"/>
      <c r="P39" s="325"/>
      <c r="Q39" s="325"/>
    </row>
    <row r="40" spans="1:17" s="31" customFormat="1" ht="15" customHeight="1" x14ac:dyDescent="0.2">
      <c r="A40" s="93">
        <f t="shared" si="8"/>
        <v>9</v>
      </c>
      <c r="B40" s="855">
        <f t="shared" si="8"/>
        <v>2020</v>
      </c>
      <c r="C40" s="1153">
        <f>IF(A40&gt;F$23,0,IF(A40=F$23,C$20-SUM(C$32:C39),C$18))</f>
        <v>100</v>
      </c>
      <c r="E40" s="366">
        <f t="shared" si="1"/>
        <v>0.67872760337745863</v>
      </c>
      <c r="F40" s="365">
        <f t="shared" si="3"/>
        <v>67.872760337745859</v>
      </c>
      <c r="G40" s="372">
        <f t="shared" si="4"/>
        <v>8.4835013828503474</v>
      </c>
      <c r="H40" s="373">
        <f t="shared" si="5"/>
        <v>91.516498617149651</v>
      </c>
      <c r="I40" s="373">
        <f t="shared" si="6"/>
        <v>101.29035099308554</v>
      </c>
      <c r="J40" s="365">
        <f t="shared" si="2"/>
        <v>154.76696078043494</v>
      </c>
      <c r="K40" s="373">
        <f t="shared" si="7"/>
        <v>77.383480390217514</v>
      </c>
      <c r="O40" s="325"/>
      <c r="P40" s="325"/>
      <c r="Q40" s="325"/>
    </row>
    <row r="41" spans="1:17" s="31" customFormat="1" ht="15" customHeight="1" x14ac:dyDescent="0.2">
      <c r="A41" s="93">
        <f t="shared" si="8"/>
        <v>10</v>
      </c>
      <c r="B41" s="855">
        <f t="shared" si="8"/>
        <v>2021</v>
      </c>
      <c r="C41" s="1153">
        <f>IF(A41&gt;F$23,0,IF(A41=F$23,C$20-SUM(C$32:C40),C$18))</f>
        <v>100</v>
      </c>
      <c r="E41" s="366">
        <f t="shared" si="1"/>
        <v>0.65012222545733589</v>
      </c>
      <c r="F41" s="365">
        <f t="shared" si="3"/>
        <v>65.012222545733593</v>
      </c>
      <c r="G41" s="372">
        <f t="shared" si="4"/>
        <v>4.4567754436957632</v>
      </c>
      <c r="H41" s="373">
        <f t="shared" si="5"/>
        <v>95.543224556304239</v>
      </c>
      <c r="I41" s="373">
        <f t="shared" si="6"/>
        <v>5.7471264367813006</v>
      </c>
      <c r="J41" s="365">
        <f t="shared" si="2"/>
        <v>77.383480390217429</v>
      </c>
      <c r="K41" s="373">
        <f t="shared" si="7"/>
        <v>77.383480390217514</v>
      </c>
      <c r="O41" s="325"/>
      <c r="P41" s="325"/>
      <c r="Q41" s="325"/>
    </row>
    <row r="42" spans="1:17" s="31" customFormat="1" ht="15" customHeight="1" x14ac:dyDescent="0.2">
      <c r="A42" s="93">
        <f t="shared" si="8"/>
        <v>11</v>
      </c>
      <c r="B42" s="855">
        <f t="shared" si="8"/>
        <v>2022</v>
      </c>
      <c r="C42" s="1153">
        <f>IF(A42&gt;F$23,0,IF(A42=F$23,C$20-SUM(C$32:C41),C$18))</f>
        <v>6</v>
      </c>
      <c r="E42" s="366">
        <f t="shared" si="1"/>
        <v>0.62272243817752471</v>
      </c>
      <c r="F42" s="365">
        <f t="shared" si="3"/>
        <v>3.7363346290651482</v>
      </c>
      <c r="G42" s="372">
        <f t="shared" si="4"/>
        <v>0.25287356321837723</v>
      </c>
      <c r="H42" s="373">
        <f t="shared" si="5"/>
        <v>5.747126436781623</v>
      </c>
      <c r="I42" s="373">
        <f t="shared" si="6"/>
        <v>-3.2240876635114546E-13</v>
      </c>
      <c r="J42" s="365">
        <f t="shared" si="2"/>
        <v>0</v>
      </c>
      <c r="K42" s="373">
        <f t="shared" si="7"/>
        <v>77.383480390217514</v>
      </c>
      <c r="O42" s="325"/>
      <c r="P42" s="325"/>
      <c r="Q42" s="325"/>
    </row>
    <row r="43" spans="1:17" s="31" customFormat="1" ht="15" customHeight="1" x14ac:dyDescent="0.2">
      <c r="A43" s="93">
        <f t="shared" si="8"/>
        <v>12</v>
      </c>
      <c r="B43" s="855">
        <f t="shared" si="8"/>
        <v>2023</v>
      </c>
      <c r="C43" s="1153">
        <f>IF(A43&gt;F$23,0,IF(A43=F$23,C$20-SUM(C$32:C42),C$18))</f>
        <v>0</v>
      </c>
      <c r="E43" s="366">
        <f t="shared" si="1"/>
        <v>0.59647743120452557</v>
      </c>
      <c r="F43" s="365">
        <f t="shared" si="3"/>
        <v>0</v>
      </c>
      <c r="G43" s="372">
        <f t="shared" si="4"/>
        <v>-1.41859857194504E-14</v>
      </c>
      <c r="H43" s="373">
        <f t="shared" si="5"/>
        <v>1.41859857194504E-14</v>
      </c>
      <c r="I43" s="373">
        <f t="shared" si="6"/>
        <v>-3.3659475207059584E-13</v>
      </c>
      <c r="J43" s="365">
        <f t="shared" si="2"/>
        <v>0</v>
      </c>
      <c r="K43" s="373">
        <f t="shared" si="7"/>
        <v>0</v>
      </c>
      <c r="O43" s="325"/>
      <c r="P43" s="325"/>
      <c r="Q43" s="325"/>
    </row>
    <row r="44" spans="1:17" s="31" customFormat="1" ht="15" customHeight="1" x14ac:dyDescent="0.2">
      <c r="A44" s="93">
        <f t="shared" si="8"/>
        <v>13</v>
      </c>
      <c r="B44" s="855">
        <f t="shared" si="8"/>
        <v>2024</v>
      </c>
      <c r="C44" s="1153">
        <f>IF(A44&gt;F$23,0,IF(A44=F$23,C$20-SUM(C$32:C43),C$18))</f>
        <v>0</v>
      </c>
      <c r="E44" s="366">
        <f t="shared" si="1"/>
        <v>0.57133853563651882</v>
      </c>
      <c r="F44" s="365">
        <f t="shared" si="3"/>
        <v>0</v>
      </c>
      <c r="G44" s="372">
        <f t="shared" si="4"/>
        <v>-1.4810169091106215E-14</v>
      </c>
      <c r="H44" s="373">
        <f t="shared" si="5"/>
        <v>1.4810169091106215E-14</v>
      </c>
      <c r="I44" s="373">
        <f t="shared" si="6"/>
        <v>-3.5140492116170203E-13</v>
      </c>
      <c r="J44" s="365">
        <f t="shared" si="2"/>
        <v>0</v>
      </c>
      <c r="K44" s="373">
        <f t="shared" si="7"/>
        <v>0</v>
      </c>
      <c r="O44" s="325"/>
      <c r="P44" s="325"/>
      <c r="Q44" s="325"/>
    </row>
    <row r="45" spans="1:17" s="31" customFormat="1" ht="15" customHeight="1" x14ac:dyDescent="0.2">
      <c r="A45" s="93">
        <f t="shared" si="8"/>
        <v>14</v>
      </c>
      <c r="B45" s="855">
        <f t="shared" si="8"/>
        <v>2025</v>
      </c>
      <c r="C45" s="1153">
        <f>IF(A45&gt;F$23,0,IF(A45=F$23,C$20-SUM(C$32:C44),C$18))</f>
        <v>0</v>
      </c>
      <c r="E45" s="366">
        <f t="shared" si="1"/>
        <v>0.54725913375145474</v>
      </c>
      <c r="F45" s="365">
        <f t="shared" si="3"/>
        <v>0</v>
      </c>
      <c r="G45" s="372">
        <f t="shared" si="4"/>
        <v>-1.5461816531114888E-14</v>
      </c>
      <c r="H45" s="373">
        <f t="shared" si="5"/>
        <v>1.5461816531114888E-14</v>
      </c>
      <c r="I45" s="373">
        <f t="shared" si="6"/>
        <v>-3.6686673769281691E-13</v>
      </c>
      <c r="J45" s="365">
        <f t="shared" si="2"/>
        <v>0</v>
      </c>
      <c r="K45" s="373">
        <f t="shared" si="7"/>
        <v>0</v>
      </c>
      <c r="O45" s="325"/>
      <c r="P45" s="325"/>
      <c r="Q45" s="325"/>
    </row>
    <row r="46" spans="1:17" s="31" customFormat="1" ht="15" customHeight="1" x14ac:dyDescent="0.2">
      <c r="A46" s="93">
        <f t="shared" si="8"/>
        <v>15</v>
      </c>
      <c r="B46" s="855">
        <f t="shared" si="8"/>
        <v>2026</v>
      </c>
      <c r="C46" s="1153">
        <f>IF(A46&gt;F$23,0,IF(A46=F$23,C$20-SUM(C$32:C45),C$18))</f>
        <v>0</v>
      </c>
      <c r="E46" s="366">
        <f t="shared" si="1"/>
        <v>0.52419457255886459</v>
      </c>
      <c r="F46" s="365">
        <f t="shared" si="3"/>
        <v>0</v>
      </c>
      <c r="G46" s="372">
        <f t="shared" si="4"/>
        <v>-1.6142136458483943E-14</v>
      </c>
      <c r="H46" s="373">
        <f t="shared" si="5"/>
        <v>1.6142136458483943E-14</v>
      </c>
      <c r="I46" s="373">
        <f t="shared" si="6"/>
        <v>-3.8300887415130083E-13</v>
      </c>
      <c r="J46" s="365">
        <f t="shared" si="2"/>
        <v>0</v>
      </c>
      <c r="K46" s="373">
        <f t="shared" si="7"/>
        <v>0</v>
      </c>
      <c r="O46" s="325"/>
      <c r="P46" s="325"/>
      <c r="Q46" s="325"/>
    </row>
    <row r="47" spans="1:17" s="31" customFormat="1" ht="15" customHeight="1" x14ac:dyDescent="0.2">
      <c r="A47" s="93">
        <f t="shared" si="8"/>
        <v>16</v>
      </c>
      <c r="B47" s="855">
        <f t="shared" si="8"/>
        <v>2027</v>
      </c>
      <c r="C47" s="1153">
        <f>IF(A47&gt;F$23,0,IF(A47=F$23,C$20-SUM(C$32:C46),C$18))</f>
        <v>0</v>
      </c>
      <c r="E47" s="366">
        <f t="shared" si="1"/>
        <v>0.50210208099508113</v>
      </c>
      <c r="F47" s="365">
        <f t="shared" si="3"/>
        <v>0</v>
      </c>
      <c r="G47" s="372">
        <f t="shared" si="4"/>
        <v>-1.6852390462657235E-14</v>
      </c>
      <c r="H47" s="373">
        <f t="shared" si="5"/>
        <v>1.6852390462657235E-14</v>
      </c>
      <c r="I47" s="373">
        <f t="shared" si="6"/>
        <v>-3.9986126461395805E-13</v>
      </c>
      <c r="J47" s="365">
        <f t="shared" si="2"/>
        <v>0</v>
      </c>
      <c r="K47" s="373">
        <f t="shared" si="7"/>
        <v>0</v>
      </c>
      <c r="O47" s="325"/>
      <c r="P47" s="325"/>
      <c r="Q47" s="325"/>
    </row>
    <row r="48" spans="1:17" s="31" customFormat="1" ht="15" customHeight="1" x14ac:dyDescent="0.2">
      <c r="A48" s="93">
        <f t="shared" si="8"/>
        <v>17</v>
      </c>
      <c r="B48" s="855">
        <f t="shared" si="8"/>
        <v>2028</v>
      </c>
      <c r="C48" s="1153">
        <f>IF(A48&gt;F$23,0,IF(A48=F$23,C$20-SUM(C$32:C47),C$18))</f>
        <v>0</v>
      </c>
      <c r="E48" s="366">
        <f t="shared" si="1"/>
        <v>0.48094069060831529</v>
      </c>
      <c r="F48" s="365">
        <f t="shared" si="3"/>
        <v>0</v>
      </c>
      <c r="G48" s="372">
        <f t="shared" si="4"/>
        <v>-1.7593895643014152E-14</v>
      </c>
      <c r="H48" s="373">
        <f t="shared" si="5"/>
        <v>1.7593895643014152E-14</v>
      </c>
      <c r="I48" s="373">
        <f t="shared" si="6"/>
        <v>-4.1745516025697219E-13</v>
      </c>
      <c r="J48" s="365">
        <f t="shared" si="2"/>
        <v>0</v>
      </c>
      <c r="K48" s="373">
        <f t="shared" si="7"/>
        <v>0</v>
      </c>
      <c r="O48" s="325"/>
      <c r="P48" s="325"/>
      <c r="Q48" s="325"/>
    </row>
    <row r="49" spans="1:17" s="31" customFormat="1" ht="15" customHeight="1" x14ac:dyDescent="0.2">
      <c r="A49" s="93">
        <f t="shared" si="8"/>
        <v>18</v>
      </c>
      <c r="B49" s="855">
        <f t="shared" si="8"/>
        <v>2029</v>
      </c>
      <c r="C49" s="1153">
        <f>IF(A49&gt;F$23,0,IF(A49=F$23,C$20-SUM(C$32:C48),C$18))</f>
        <v>0</v>
      </c>
      <c r="E49" s="366">
        <f t="shared" si="1"/>
        <v>0.46067115958650884</v>
      </c>
      <c r="F49" s="365">
        <f t="shared" si="3"/>
        <v>0</v>
      </c>
      <c r="G49" s="372">
        <f t="shared" si="4"/>
        <v>-1.8368027051306775E-14</v>
      </c>
      <c r="H49" s="373">
        <f t="shared" si="5"/>
        <v>1.8368027051306775E-14</v>
      </c>
      <c r="I49" s="373">
        <f t="shared" si="6"/>
        <v>-4.3582318730827896E-13</v>
      </c>
      <c r="J49" s="365">
        <f t="shared" si="2"/>
        <v>0</v>
      </c>
      <c r="K49" s="373">
        <f t="shared" si="7"/>
        <v>0</v>
      </c>
      <c r="O49" s="325"/>
      <c r="P49" s="325"/>
      <c r="Q49" s="325"/>
    </row>
    <row r="50" spans="1:17" s="31" customFormat="1" ht="15" customHeight="1" x14ac:dyDescent="0.2">
      <c r="A50" s="93">
        <f t="shared" si="8"/>
        <v>19</v>
      </c>
      <c r="B50" s="855">
        <f t="shared" si="8"/>
        <v>2030</v>
      </c>
      <c r="C50" s="1153">
        <f>IF(A50&gt;F$23,0,IF(A50=F$23,C$20-SUM(C$32:C49),C$18))</f>
        <v>0</v>
      </c>
      <c r="E50" s="366">
        <f t="shared" si="1"/>
        <v>0.44125589998707743</v>
      </c>
      <c r="F50" s="365">
        <f t="shared" si="3"/>
        <v>0</v>
      </c>
      <c r="G50" s="372">
        <f t="shared" si="4"/>
        <v>-1.9176220241564272E-14</v>
      </c>
      <c r="H50" s="373">
        <f t="shared" si="5"/>
        <v>1.9176220241564272E-14</v>
      </c>
      <c r="I50" s="373">
        <f t="shared" si="6"/>
        <v>-4.5499940754984319E-13</v>
      </c>
      <c r="J50" s="365">
        <f t="shared" si="2"/>
        <v>0</v>
      </c>
      <c r="K50" s="373">
        <f t="shared" si="7"/>
        <v>0</v>
      </c>
      <c r="O50" s="325"/>
      <c r="P50" s="325"/>
      <c r="Q50" s="325"/>
    </row>
    <row r="51" spans="1:17" ht="15" customHeight="1" x14ac:dyDescent="0.2">
      <c r="A51" s="93">
        <f t="shared" si="8"/>
        <v>20</v>
      </c>
      <c r="B51" s="855">
        <f t="shared" si="8"/>
        <v>2031</v>
      </c>
      <c r="C51" s="1153">
        <f>IF(A51&gt;F$23,0,IF(A51=F$23,C$20-SUM(C$32:C50),C$18))</f>
        <v>0</v>
      </c>
      <c r="E51" s="366">
        <f t="shared" si="1"/>
        <v>0.42265890803359907</v>
      </c>
      <c r="F51" s="365">
        <f t="shared" si="3"/>
        <v>0</v>
      </c>
      <c r="G51" s="372">
        <f t="shared" si="4"/>
        <v>-2.0019973932193099E-14</v>
      </c>
      <c r="H51" s="373">
        <f t="shared" si="5"/>
        <v>2.0019973932193099E-14</v>
      </c>
      <c r="I51" s="373">
        <f t="shared" si="6"/>
        <v>-4.7501938148203625E-13</v>
      </c>
      <c r="J51" s="365">
        <f t="shared" si="2"/>
        <v>0</v>
      </c>
      <c r="K51" s="373">
        <f t="shared" si="7"/>
        <v>0</v>
      </c>
    </row>
    <row r="52" spans="1:17" ht="15" customHeight="1" thickBot="1" x14ac:dyDescent="0.25">
      <c r="A52" s="352" t="s">
        <v>441</v>
      </c>
      <c r="C52" s="387">
        <f>SUM(C32:C51)</f>
        <v>1063</v>
      </c>
      <c r="F52" s="387">
        <f>SUM(F32:F51)</f>
        <v>851.2182842923927</v>
      </c>
      <c r="G52" s="387">
        <f>SUM(G32:G51)</f>
        <v>211.78171570760671</v>
      </c>
      <c r="H52" s="387">
        <f>SUM(H32:H51)</f>
        <v>851.21828429239304</v>
      </c>
      <c r="I52" s="120"/>
      <c r="J52" s="120"/>
      <c r="K52" s="387">
        <f>SUM(K32:K51)</f>
        <v>851.2182842923927</v>
      </c>
    </row>
    <row r="53" spans="1:17" ht="15" customHeight="1" x14ac:dyDescent="0.2">
      <c r="I53" s="33"/>
    </row>
    <row r="54" spans="1:17" ht="15" customHeight="1" x14ac:dyDescent="0.2">
      <c r="A54" s="359" t="s">
        <v>442</v>
      </c>
      <c r="B54" s="359" t="s">
        <v>443</v>
      </c>
      <c r="C54" s="367" t="s">
        <v>444</v>
      </c>
      <c r="D54" s="368"/>
      <c r="E54" s="359" t="s">
        <v>445</v>
      </c>
      <c r="F54" s="359" t="s">
        <v>446</v>
      </c>
      <c r="G54" s="359" t="s">
        <v>447</v>
      </c>
      <c r="H54" s="359" t="s">
        <v>448</v>
      </c>
      <c r="I54" s="325"/>
      <c r="J54" s="325"/>
      <c r="K54" s="325"/>
    </row>
    <row r="55" spans="1:17" ht="15" customHeight="1" x14ac:dyDescent="0.2">
      <c r="A55" s="362" t="s">
        <v>449</v>
      </c>
      <c r="B55" s="362" t="s">
        <v>450</v>
      </c>
      <c r="C55" s="369" t="s">
        <v>451</v>
      </c>
      <c r="D55" s="370"/>
      <c r="E55" s="371" t="s">
        <v>452</v>
      </c>
      <c r="F55" s="371" t="s">
        <v>453</v>
      </c>
      <c r="G55" s="371" t="s">
        <v>454</v>
      </c>
      <c r="H55" s="371" t="s">
        <v>455</v>
      </c>
      <c r="I55" s="325"/>
      <c r="J55" s="325"/>
      <c r="K55" s="325"/>
    </row>
    <row r="56" spans="1:17" ht="15" customHeight="1" x14ac:dyDescent="0.2">
      <c r="A56" s="1086" t="s">
        <v>424</v>
      </c>
      <c r="B56" s="1095" t="s">
        <v>60</v>
      </c>
      <c r="C56" s="1098" t="s">
        <v>59</v>
      </c>
      <c r="D56" s="1099"/>
      <c r="E56" s="1100"/>
      <c r="F56" s="1101"/>
      <c r="G56" s="1102" t="s">
        <v>456</v>
      </c>
      <c r="H56" s="1101"/>
      <c r="I56" s="325"/>
      <c r="J56" s="325"/>
      <c r="K56" s="325"/>
    </row>
    <row r="57" spans="1:17" ht="15" customHeight="1" x14ac:dyDescent="0.2">
      <c r="A57" s="1089" t="s">
        <v>430</v>
      </c>
      <c r="B57" s="1096" t="s">
        <v>457</v>
      </c>
      <c r="C57" s="1090" t="s">
        <v>113</v>
      </c>
      <c r="D57" s="1091"/>
      <c r="E57" s="1089" t="s">
        <v>72</v>
      </c>
      <c r="F57" s="1089" t="s">
        <v>45</v>
      </c>
      <c r="G57" s="1089" t="s">
        <v>458</v>
      </c>
      <c r="H57" s="1089" t="s">
        <v>459</v>
      </c>
      <c r="I57" s="325"/>
      <c r="J57" s="325"/>
      <c r="K57" s="325"/>
    </row>
    <row r="58" spans="1:17" ht="15" customHeight="1" x14ac:dyDescent="0.2">
      <c r="A58" s="1092" t="s">
        <v>429</v>
      </c>
      <c r="B58" s="1097" t="s">
        <v>460</v>
      </c>
      <c r="C58" s="1093" t="s">
        <v>115</v>
      </c>
      <c r="D58" s="1094"/>
      <c r="E58" s="1092" t="s">
        <v>115</v>
      </c>
      <c r="F58" s="1092" t="s">
        <v>115</v>
      </c>
      <c r="G58" s="1092" t="s">
        <v>461</v>
      </c>
      <c r="H58" s="1092" t="s">
        <v>461</v>
      </c>
    </row>
    <row r="59" spans="1:17" ht="15" customHeight="1" x14ac:dyDescent="0.2">
      <c r="A59" s="394">
        <f>B32</f>
        <v>2012</v>
      </c>
      <c r="B59" s="411">
        <f>C32</f>
        <v>122</v>
      </c>
      <c r="C59" s="390">
        <f>G32</f>
        <v>37.453604508865276</v>
      </c>
      <c r="D59" s="390"/>
      <c r="E59" s="390">
        <f>K32</f>
        <v>77.383480390217514</v>
      </c>
      <c r="F59" s="390">
        <f>C59+E59</f>
        <v>114.83708489908278</v>
      </c>
      <c r="G59" s="390">
        <f>F59-B59</f>
        <v>-7.1629151009172176</v>
      </c>
      <c r="H59" s="390">
        <f t="shared" ref="H59:H78" si="9">G59*(1-J$10)</f>
        <v>-4.4428207587967554</v>
      </c>
    </row>
    <row r="60" spans="1:17" ht="15" customHeight="1" x14ac:dyDescent="0.2">
      <c r="A60" s="395">
        <f>B33</f>
        <v>2013</v>
      </c>
      <c r="B60" s="410">
        <f>C33</f>
        <v>118</v>
      </c>
      <c r="C60" s="373">
        <f>G33</f>
        <v>33.73356310725535</v>
      </c>
      <c r="D60" s="373"/>
      <c r="E60" s="373">
        <f>K33</f>
        <v>77.383480390217514</v>
      </c>
      <c r="F60" s="373">
        <f>C60+E60</f>
        <v>111.11704349747286</v>
      </c>
      <c r="G60" s="373">
        <f t="shared" ref="G60:G78" si="10">F60-B60</f>
        <v>-6.8829565025271364</v>
      </c>
      <c r="H60" s="373">
        <f t="shared" si="9"/>
        <v>-4.2691755522003758</v>
      </c>
    </row>
    <row r="61" spans="1:17" ht="15" customHeight="1" x14ac:dyDescent="0.2">
      <c r="A61" s="395">
        <f t="shared" ref="A61:B76" si="11">B34</f>
        <v>2014</v>
      </c>
      <c r="B61" s="410">
        <f t="shared" si="11"/>
        <v>111</v>
      </c>
      <c r="C61" s="373">
        <f t="shared" ref="C61:C78" si="12">G34</f>
        <v>30.025839883974584</v>
      </c>
      <c r="D61" s="373"/>
      <c r="E61" s="373">
        <f t="shared" ref="E61:E78" si="13">K34</f>
        <v>77.383480390217514</v>
      </c>
      <c r="F61" s="373">
        <f t="shared" ref="F61:F78" si="14">C61+E61</f>
        <v>107.4093202741921</v>
      </c>
      <c r="G61" s="373">
        <f t="shared" si="10"/>
        <v>-3.5906797258079024</v>
      </c>
      <c r="H61" s="373">
        <f t="shared" si="9"/>
        <v>-2.2271304628428763</v>
      </c>
      <c r="L61" s="325"/>
      <c r="M61" s="325"/>
      <c r="N61" s="325"/>
    </row>
    <row r="62" spans="1:17" ht="15" customHeight="1" x14ac:dyDescent="0.2">
      <c r="A62" s="395">
        <f t="shared" si="11"/>
        <v>2015</v>
      </c>
      <c r="B62" s="410">
        <f t="shared" si="11"/>
        <v>106</v>
      </c>
      <c r="C62" s="373">
        <f t="shared" si="12"/>
        <v>26.462976838869466</v>
      </c>
      <c r="D62" s="373"/>
      <c r="E62" s="373">
        <f t="shared" si="13"/>
        <v>77.383480390217514</v>
      </c>
      <c r="F62" s="373">
        <f t="shared" si="14"/>
        <v>103.84645722908698</v>
      </c>
      <c r="G62" s="373">
        <f t="shared" si="10"/>
        <v>-2.1535427709130204</v>
      </c>
      <c r="H62" s="373">
        <f t="shared" si="9"/>
        <v>-1.3357417186675695</v>
      </c>
      <c r="L62" s="325"/>
      <c r="M62" s="325"/>
      <c r="N62" s="325"/>
    </row>
    <row r="63" spans="1:17" ht="15" customHeight="1" x14ac:dyDescent="0.2">
      <c r="A63" s="395">
        <f t="shared" si="11"/>
        <v>2016</v>
      </c>
      <c r="B63" s="410">
        <f t="shared" si="11"/>
        <v>100</v>
      </c>
      <c r="C63" s="373">
        <f t="shared" si="12"/>
        <v>22.963347819779724</v>
      </c>
      <c r="D63" s="373"/>
      <c r="E63" s="373">
        <f t="shared" si="13"/>
        <v>77.383480390217514</v>
      </c>
      <c r="F63" s="373">
        <f t="shared" si="14"/>
        <v>100.34682820999724</v>
      </c>
      <c r="G63" s="373">
        <f t="shared" si="10"/>
        <v>0.34682820999724129</v>
      </c>
      <c r="H63" s="373">
        <f t="shared" si="9"/>
        <v>0.21512129480841546</v>
      </c>
      <c r="L63" s="325"/>
      <c r="M63" s="325"/>
      <c r="N63" s="325"/>
    </row>
    <row r="64" spans="1:17" ht="15" customHeight="1" x14ac:dyDescent="0.2">
      <c r="A64" s="395">
        <f t="shared" si="11"/>
        <v>2017</v>
      </c>
      <c r="B64" s="410">
        <f t="shared" si="11"/>
        <v>100</v>
      </c>
      <c r="C64" s="373">
        <f t="shared" si="12"/>
        <v>19.573735123850032</v>
      </c>
      <c r="D64" s="373"/>
      <c r="E64" s="373">
        <f t="shared" si="13"/>
        <v>77.383480390217514</v>
      </c>
      <c r="F64" s="373">
        <f t="shared" si="14"/>
        <v>96.957215514067542</v>
      </c>
      <c r="G64" s="373">
        <f t="shared" si="10"/>
        <v>-3.042784485932458</v>
      </c>
      <c r="H64" s="373">
        <f t="shared" si="9"/>
        <v>-1.8872967064644359</v>
      </c>
      <c r="L64" s="325"/>
      <c r="M64" s="325"/>
      <c r="N64" s="325"/>
    </row>
    <row r="65" spans="1:17" ht="15" customHeight="1" x14ac:dyDescent="0.2">
      <c r="A65" s="395">
        <f t="shared" si="11"/>
        <v>2018</v>
      </c>
      <c r="B65" s="410">
        <f t="shared" si="11"/>
        <v>100</v>
      </c>
      <c r="C65" s="373">
        <f t="shared" si="12"/>
        <v>16.034979469299433</v>
      </c>
      <c r="D65" s="373"/>
      <c r="E65" s="373">
        <f t="shared" si="13"/>
        <v>77.383480390217514</v>
      </c>
      <c r="F65" s="373">
        <f t="shared" si="14"/>
        <v>93.418459859516943</v>
      </c>
      <c r="G65" s="373">
        <f t="shared" si="10"/>
        <v>-6.5815401404830567</v>
      </c>
      <c r="H65" s="373">
        <f t="shared" si="9"/>
        <v>-4.082221099793288</v>
      </c>
      <c r="L65" s="325"/>
      <c r="M65" s="325"/>
      <c r="N65" s="325"/>
    </row>
    <row r="66" spans="1:17" ht="15" customHeight="1" x14ac:dyDescent="0.2">
      <c r="A66" s="395">
        <f t="shared" si="11"/>
        <v>2019</v>
      </c>
      <c r="B66" s="410">
        <f t="shared" si="11"/>
        <v>100</v>
      </c>
      <c r="C66" s="373">
        <f t="shared" si="12"/>
        <v>12.340518565948608</v>
      </c>
      <c r="D66" s="373"/>
      <c r="E66" s="373">
        <f t="shared" si="13"/>
        <v>77.383480390217514</v>
      </c>
      <c r="F66" s="373">
        <f t="shared" si="14"/>
        <v>89.723998956166128</v>
      </c>
      <c r="G66" s="373">
        <f t="shared" si="10"/>
        <v>-10.276001043833872</v>
      </c>
      <c r="H66" s="373">
        <f t="shared" si="9"/>
        <v>-6.3737221664286041</v>
      </c>
    </row>
    <row r="67" spans="1:17" s="31" customFormat="1" ht="15" customHeight="1" x14ac:dyDescent="0.2">
      <c r="A67" s="395">
        <f t="shared" si="11"/>
        <v>2020</v>
      </c>
      <c r="B67" s="410">
        <f t="shared" si="11"/>
        <v>100</v>
      </c>
      <c r="C67" s="373">
        <f t="shared" si="12"/>
        <v>8.4835013828503474</v>
      </c>
      <c r="D67" s="373"/>
      <c r="E67" s="373">
        <f t="shared" si="13"/>
        <v>77.383480390217514</v>
      </c>
      <c r="F67" s="373">
        <f t="shared" si="14"/>
        <v>85.866981773067863</v>
      </c>
      <c r="G67" s="373">
        <f t="shared" si="10"/>
        <v>-14.133018226932137</v>
      </c>
      <c r="H67" s="373">
        <f t="shared" si="9"/>
        <v>-8.7660492799958813</v>
      </c>
      <c r="O67" s="325"/>
      <c r="P67" s="325"/>
      <c r="Q67" s="325"/>
    </row>
    <row r="68" spans="1:17" s="31" customFormat="1" ht="15" customHeight="1" x14ac:dyDescent="0.2">
      <c r="A68" s="395">
        <f t="shared" si="11"/>
        <v>2021</v>
      </c>
      <c r="B68" s="410">
        <f t="shared" si="11"/>
        <v>100</v>
      </c>
      <c r="C68" s="373">
        <f t="shared" si="12"/>
        <v>4.4567754436957632</v>
      </c>
      <c r="D68" s="373"/>
      <c r="E68" s="373">
        <f t="shared" si="13"/>
        <v>77.383480390217514</v>
      </c>
      <c r="F68" s="373">
        <f t="shared" si="14"/>
        <v>81.840255833913275</v>
      </c>
      <c r="G68" s="373">
        <f t="shared" si="10"/>
        <v>-18.159744166086725</v>
      </c>
      <c r="H68" s="373">
        <f t="shared" si="9"/>
        <v>-11.26363878656012</v>
      </c>
      <c r="O68" s="325"/>
      <c r="P68" s="325"/>
      <c r="Q68" s="325"/>
    </row>
    <row r="69" spans="1:17" s="31" customFormat="1" ht="15" customHeight="1" x14ac:dyDescent="0.2">
      <c r="A69" s="395">
        <f t="shared" si="11"/>
        <v>2022</v>
      </c>
      <c r="B69" s="410">
        <f t="shared" si="11"/>
        <v>6</v>
      </c>
      <c r="C69" s="373">
        <f t="shared" si="12"/>
        <v>0.25287356321837723</v>
      </c>
      <c r="D69" s="373"/>
      <c r="E69" s="373">
        <f t="shared" si="13"/>
        <v>77.383480390217514</v>
      </c>
      <c r="F69" s="373">
        <f t="shared" si="14"/>
        <v>77.636353953435886</v>
      </c>
      <c r="G69" s="373">
        <f t="shared" si="10"/>
        <v>71.636353953435886</v>
      </c>
      <c r="H69" s="373">
        <f t="shared" si="9"/>
        <v>44.432675236941243</v>
      </c>
      <c r="O69" s="325"/>
      <c r="P69" s="325"/>
      <c r="Q69" s="325"/>
    </row>
    <row r="70" spans="1:17" s="31" customFormat="1" ht="15" customHeight="1" x14ac:dyDescent="0.2">
      <c r="A70" s="395">
        <f t="shared" si="11"/>
        <v>2023</v>
      </c>
      <c r="B70" s="410">
        <f t="shared" si="11"/>
        <v>0</v>
      </c>
      <c r="C70" s="373">
        <f t="shared" si="12"/>
        <v>-1.41859857194504E-14</v>
      </c>
      <c r="D70" s="373"/>
      <c r="E70" s="373">
        <f t="shared" si="13"/>
        <v>0</v>
      </c>
      <c r="F70" s="373">
        <f t="shared" si="14"/>
        <v>-1.41859857194504E-14</v>
      </c>
      <c r="G70" s="373">
        <f t="shared" si="10"/>
        <v>-1.41859857194504E-14</v>
      </c>
      <c r="H70" s="373">
        <f t="shared" si="9"/>
        <v>-8.7989025348489811E-15</v>
      </c>
      <c r="O70" s="325"/>
      <c r="P70" s="325"/>
      <c r="Q70" s="325"/>
    </row>
    <row r="71" spans="1:17" s="31" customFormat="1" ht="15" customHeight="1" x14ac:dyDescent="0.2">
      <c r="A71" s="395">
        <f t="shared" si="11"/>
        <v>2024</v>
      </c>
      <c r="B71" s="410">
        <f t="shared" si="11"/>
        <v>0</v>
      </c>
      <c r="C71" s="373">
        <f t="shared" si="12"/>
        <v>-1.4810169091106215E-14</v>
      </c>
      <c r="D71" s="373"/>
      <c r="E71" s="373">
        <f t="shared" si="13"/>
        <v>0</v>
      </c>
      <c r="F71" s="373">
        <f t="shared" si="14"/>
        <v>-1.4810169091106215E-14</v>
      </c>
      <c r="G71" s="373">
        <f t="shared" si="10"/>
        <v>-1.4810169091106215E-14</v>
      </c>
      <c r="H71" s="373">
        <f t="shared" si="9"/>
        <v>-9.1860542463823362E-15</v>
      </c>
      <c r="O71" s="325"/>
      <c r="P71" s="325"/>
      <c r="Q71" s="325"/>
    </row>
    <row r="72" spans="1:17" s="31" customFormat="1" ht="15" customHeight="1" x14ac:dyDescent="0.2">
      <c r="A72" s="395">
        <f t="shared" si="11"/>
        <v>2025</v>
      </c>
      <c r="B72" s="410">
        <f t="shared" si="11"/>
        <v>0</v>
      </c>
      <c r="C72" s="373">
        <f t="shared" si="12"/>
        <v>-1.5461816531114888E-14</v>
      </c>
      <c r="D72" s="373"/>
      <c r="E72" s="373">
        <f t="shared" si="13"/>
        <v>0</v>
      </c>
      <c r="F72" s="373">
        <f t="shared" si="14"/>
        <v>-1.5461816531114888E-14</v>
      </c>
      <c r="G72" s="373">
        <f t="shared" si="10"/>
        <v>-1.5461816531114888E-14</v>
      </c>
      <c r="H72" s="373">
        <f t="shared" si="9"/>
        <v>-9.5902406332231587E-15</v>
      </c>
      <c r="O72" s="325"/>
      <c r="P72" s="325"/>
      <c r="Q72" s="325"/>
    </row>
    <row r="73" spans="1:17" s="31" customFormat="1" ht="15" customHeight="1" x14ac:dyDescent="0.2">
      <c r="A73" s="395">
        <f t="shared" si="11"/>
        <v>2026</v>
      </c>
      <c r="B73" s="410">
        <f t="shared" si="11"/>
        <v>0</v>
      </c>
      <c r="C73" s="373">
        <f t="shared" si="12"/>
        <v>-1.6142136458483943E-14</v>
      </c>
      <c r="D73" s="373"/>
      <c r="E73" s="373">
        <f t="shared" si="13"/>
        <v>0</v>
      </c>
      <c r="F73" s="373">
        <f t="shared" si="14"/>
        <v>-1.6142136458483943E-14</v>
      </c>
      <c r="G73" s="373">
        <f t="shared" si="10"/>
        <v>-1.6142136458483943E-14</v>
      </c>
      <c r="H73" s="373">
        <f t="shared" si="9"/>
        <v>-1.0012211221084976E-14</v>
      </c>
      <c r="O73" s="325"/>
      <c r="P73" s="325"/>
      <c r="Q73" s="325"/>
    </row>
    <row r="74" spans="1:17" s="31" customFormat="1" ht="15" customHeight="1" x14ac:dyDescent="0.2">
      <c r="A74" s="395">
        <f t="shared" si="11"/>
        <v>2027</v>
      </c>
      <c r="B74" s="410">
        <f t="shared" si="11"/>
        <v>0</v>
      </c>
      <c r="C74" s="373">
        <f t="shared" si="12"/>
        <v>-1.6852390462657235E-14</v>
      </c>
      <c r="D74" s="373"/>
      <c r="E74" s="373">
        <f t="shared" si="13"/>
        <v>0</v>
      </c>
      <c r="F74" s="373">
        <f t="shared" si="14"/>
        <v>-1.6852390462657235E-14</v>
      </c>
      <c r="G74" s="373">
        <f t="shared" si="10"/>
        <v>-1.6852390462657235E-14</v>
      </c>
      <c r="H74" s="373">
        <f t="shared" si="9"/>
        <v>-1.0452748514812715E-14</v>
      </c>
      <c r="O74" s="325"/>
      <c r="P74" s="325"/>
      <c r="Q74" s="325"/>
    </row>
    <row r="75" spans="1:17" s="31" customFormat="1" ht="15" customHeight="1" x14ac:dyDescent="0.2">
      <c r="A75" s="395">
        <f t="shared" si="11"/>
        <v>2028</v>
      </c>
      <c r="B75" s="410">
        <f t="shared" si="11"/>
        <v>0</v>
      </c>
      <c r="C75" s="373">
        <f t="shared" si="12"/>
        <v>-1.7593895643014152E-14</v>
      </c>
      <c r="D75" s="373"/>
      <c r="E75" s="373">
        <f t="shared" si="13"/>
        <v>0</v>
      </c>
      <c r="F75" s="373">
        <f t="shared" si="14"/>
        <v>-1.7593895643014152E-14</v>
      </c>
      <c r="G75" s="373">
        <f t="shared" si="10"/>
        <v>-1.7593895643014152E-14</v>
      </c>
      <c r="H75" s="373">
        <f t="shared" si="9"/>
        <v>-1.0912669449464474E-14</v>
      </c>
      <c r="O75" s="325"/>
      <c r="P75" s="325"/>
      <c r="Q75" s="325"/>
    </row>
    <row r="76" spans="1:17" s="31" customFormat="1" ht="15" customHeight="1" x14ac:dyDescent="0.2">
      <c r="A76" s="395">
        <f t="shared" si="11"/>
        <v>2029</v>
      </c>
      <c r="B76" s="410">
        <f t="shared" si="11"/>
        <v>0</v>
      </c>
      <c r="C76" s="373">
        <f t="shared" si="12"/>
        <v>-1.8368027051306775E-14</v>
      </c>
      <c r="D76" s="373"/>
      <c r="E76" s="373">
        <f t="shared" si="13"/>
        <v>0</v>
      </c>
      <c r="F76" s="373">
        <f t="shared" si="14"/>
        <v>-1.8368027051306775E-14</v>
      </c>
      <c r="G76" s="373">
        <f t="shared" si="10"/>
        <v>-1.8368027051306775E-14</v>
      </c>
      <c r="H76" s="373">
        <f t="shared" si="9"/>
        <v>-1.1392826905240911E-14</v>
      </c>
      <c r="O76" s="325"/>
      <c r="P76" s="325"/>
      <c r="Q76" s="325"/>
    </row>
    <row r="77" spans="1:17" s="31" customFormat="1" ht="15" customHeight="1" x14ac:dyDescent="0.2">
      <c r="A77" s="395">
        <f>B50</f>
        <v>2030</v>
      </c>
      <c r="B77" s="410">
        <f>C50</f>
        <v>0</v>
      </c>
      <c r="C77" s="373">
        <f t="shared" si="12"/>
        <v>-1.9176220241564272E-14</v>
      </c>
      <c r="D77" s="373"/>
      <c r="E77" s="373">
        <f t="shared" si="13"/>
        <v>0</v>
      </c>
      <c r="F77" s="373">
        <f t="shared" si="14"/>
        <v>-1.9176220241564272E-14</v>
      </c>
      <c r="G77" s="373">
        <f t="shared" si="10"/>
        <v>-1.9176220241564272E-14</v>
      </c>
      <c r="H77" s="373">
        <f t="shared" si="9"/>
        <v>-1.1894111289071511E-14</v>
      </c>
      <c r="O77" s="325"/>
      <c r="P77" s="325"/>
      <c r="Q77" s="325"/>
    </row>
    <row r="78" spans="1:17" s="31" customFormat="1" ht="15" customHeight="1" x14ac:dyDescent="0.2">
      <c r="A78" s="395">
        <f>B51</f>
        <v>2031</v>
      </c>
      <c r="B78" s="410">
        <f>C51</f>
        <v>0</v>
      </c>
      <c r="C78" s="373">
        <f t="shared" si="12"/>
        <v>-2.0019973932193099E-14</v>
      </c>
      <c r="D78" s="373"/>
      <c r="E78" s="373">
        <f t="shared" si="13"/>
        <v>0</v>
      </c>
      <c r="F78" s="373">
        <f t="shared" si="14"/>
        <v>-2.0019973932193099E-14</v>
      </c>
      <c r="G78" s="373">
        <f t="shared" si="10"/>
        <v>-2.0019973932193099E-14</v>
      </c>
      <c r="H78" s="373">
        <f t="shared" si="9"/>
        <v>-1.2417452185790656E-14</v>
      </c>
      <c r="O78" s="325"/>
      <c r="P78" s="325"/>
      <c r="Q78" s="325"/>
    </row>
    <row r="79" spans="1:17" s="31" customFormat="1" ht="15" customHeight="1" thickBot="1" x14ac:dyDescent="0.25">
      <c r="A79" s="372" t="s">
        <v>441</v>
      </c>
      <c r="B79" s="412">
        <f>SUM(B59:B78)</f>
        <v>1063</v>
      </c>
      <c r="C79" s="412">
        <f>SUM(C59:C78)</f>
        <v>211.78171570760671</v>
      </c>
      <c r="D79" s="412"/>
      <c r="E79" s="412">
        <f>SUM(E59:E78)</f>
        <v>851.2182842923927</v>
      </c>
      <c r="F79" s="412">
        <f>SUM(F59:F78)</f>
        <v>1062.9999999999995</v>
      </c>
      <c r="G79" s="412">
        <f>SUM(G59:G78)</f>
        <v>-5.50514547156547E-13</v>
      </c>
      <c r="H79" s="412">
        <f>SUM(H59:H78)</f>
        <v>-3.4334717449595477E-13</v>
      </c>
      <c r="O79" s="325"/>
      <c r="P79" s="325"/>
      <c r="Q79" s="325"/>
    </row>
    <row r="80" spans="1:17" s="31" customFormat="1" ht="15" customHeight="1" x14ac:dyDescent="0.2">
      <c r="O80" s="325"/>
      <c r="P80" s="325"/>
      <c r="Q80" s="325"/>
    </row>
    <row r="81" spans="1:17" s="31" customFormat="1" ht="15" customHeight="1" x14ac:dyDescent="0.2">
      <c r="A81" s="1103" t="s">
        <v>469</v>
      </c>
      <c r="B81" s="1112"/>
      <c r="C81" s="1112"/>
      <c r="D81" s="1112"/>
      <c r="E81" s="1105">
        <f>C10</f>
        <v>2011</v>
      </c>
      <c r="F81" s="1112"/>
      <c r="G81" s="1106" t="s">
        <v>117</v>
      </c>
      <c r="H81" s="1106" t="s">
        <v>118</v>
      </c>
      <c r="I81" s="110"/>
      <c r="O81" s="325"/>
      <c r="P81" s="325"/>
      <c r="Q81" s="325"/>
    </row>
    <row r="82" spans="1:17" s="31" customFormat="1" ht="15" customHeight="1" x14ac:dyDescent="0.2">
      <c r="A82" s="325" t="s">
        <v>470</v>
      </c>
      <c r="B82" s="110"/>
      <c r="C82" s="110"/>
      <c r="D82" s="110"/>
      <c r="E82" s="110"/>
      <c r="F82" s="110"/>
      <c r="G82" s="381">
        <f>ROUND(J31,0)</f>
        <v>851</v>
      </c>
      <c r="H82" s="381"/>
      <c r="I82" s="110"/>
      <c r="O82" s="325"/>
      <c r="P82" s="325"/>
      <c r="Q82" s="325"/>
    </row>
    <row r="83" spans="1:17" s="31" customFormat="1" ht="15" customHeight="1" x14ac:dyDescent="0.2">
      <c r="A83" s="325" t="s">
        <v>471</v>
      </c>
      <c r="B83" s="110"/>
      <c r="C83" s="110"/>
      <c r="D83" s="110"/>
      <c r="E83" s="110"/>
      <c r="F83" s="110"/>
      <c r="G83" s="381"/>
      <c r="H83" s="381">
        <f>ROUND(H32,0)</f>
        <v>85</v>
      </c>
      <c r="I83" s="110"/>
      <c r="O83" s="325"/>
      <c r="P83" s="325"/>
      <c r="Q83" s="325"/>
    </row>
    <row r="84" spans="1:17" s="31" customFormat="1" ht="15" customHeight="1" x14ac:dyDescent="0.2">
      <c r="A84" s="325" t="s">
        <v>472</v>
      </c>
      <c r="B84" s="110"/>
      <c r="C84" s="110"/>
      <c r="D84" s="110"/>
      <c r="E84" s="110"/>
      <c r="F84" s="110"/>
      <c r="G84" s="408"/>
      <c r="H84" s="75">
        <f>ROUND(I31,0)-ROUND(H32,0)</f>
        <v>766</v>
      </c>
      <c r="I84" s="110"/>
      <c r="O84" s="325"/>
      <c r="P84" s="325"/>
      <c r="Q84" s="325"/>
    </row>
    <row r="85" spans="1:17" s="31" customFormat="1" ht="15" customHeight="1" thickBot="1" x14ac:dyDescent="0.25">
      <c r="A85" s="1107" t="s">
        <v>468</v>
      </c>
      <c r="B85" s="1104"/>
      <c r="C85" s="1104"/>
      <c r="D85" s="1104"/>
      <c r="E85" s="1104"/>
      <c r="F85" s="1104"/>
      <c r="G85" s="1108">
        <f>SUM(G82:G84)</f>
        <v>851</v>
      </c>
      <c r="H85" s="1108">
        <f>SUM(H82:H84)</f>
        <v>851</v>
      </c>
      <c r="I85" s="110"/>
      <c r="O85" s="325"/>
      <c r="P85" s="325"/>
      <c r="Q85" s="325"/>
    </row>
    <row r="90" spans="1:17" s="31" customFormat="1" ht="16.5" customHeight="1" x14ac:dyDescent="0.2">
      <c r="B90" s="110"/>
      <c r="C90" s="110"/>
      <c r="D90" s="110"/>
      <c r="E90" s="110"/>
      <c r="F90" s="110"/>
      <c r="G90" s="111"/>
      <c r="H90" s="111"/>
      <c r="I90" s="110"/>
      <c r="O90" s="325"/>
      <c r="P90" s="325"/>
      <c r="Q90" s="325"/>
    </row>
    <row r="93" spans="1:17" s="31" customFormat="1" ht="16.5" customHeight="1" x14ac:dyDescent="0.2">
      <c r="A93" s="1103" t="s">
        <v>473</v>
      </c>
      <c r="B93" s="1104"/>
      <c r="C93" s="1104"/>
      <c r="D93" s="1104"/>
      <c r="E93" s="1105">
        <f>J7</f>
        <v>2012</v>
      </c>
      <c r="F93" s="1104"/>
      <c r="G93" s="1106" t="s">
        <v>117</v>
      </c>
      <c r="H93" s="1106" t="s">
        <v>118</v>
      </c>
      <c r="I93" s="1106" t="s">
        <v>462</v>
      </c>
      <c r="O93" s="325"/>
      <c r="P93" s="325"/>
      <c r="Q93" s="325"/>
    </row>
    <row r="94" spans="1:17" s="31" customFormat="1" ht="16.5" customHeight="1" x14ac:dyDescent="0.2">
      <c r="A94" s="325" t="s">
        <v>559</v>
      </c>
      <c r="B94" s="110"/>
      <c r="C94" s="110"/>
      <c r="D94" s="110"/>
      <c r="E94" s="110"/>
      <c r="F94" s="110"/>
      <c r="G94" s="120">
        <f>ROUND(C59,0)</f>
        <v>37</v>
      </c>
      <c r="I94" s="1109">
        <f>-G94</f>
        <v>-37</v>
      </c>
      <c r="O94" s="325"/>
      <c r="P94" s="325"/>
      <c r="Q94" s="325"/>
    </row>
    <row r="95" spans="1:17" s="31" customFormat="1" ht="16.5" customHeight="1" x14ac:dyDescent="0.2">
      <c r="A95" s="325" t="s">
        <v>476</v>
      </c>
      <c r="B95" s="110"/>
      <c r="C95" s="110"/>
      <c r="D95" s="110"/>
      <c r="E95" s="110"/>
      <c r="F95" s="110"/>
      <c r="G95" s="31">
        <f>ROUND(E59,0)</f>
        <v>77</v>
      </c>
      <c r="I95" s="1110">
        <f>-G95</f>
        <v>-77</v>
      </c>
      <c r="O95" s="325"/>
      <c r="P95" s="325"/>
      <c r="Q95" s="325"/>
    </row>
    <row r="96" spans="1:17" s="31" customFormat="1" ht="16.5" customHeight="1" x14ac:dyDescent="0.2">
      <c r="A96" s="325" t="s">
        <v>1017</v>
      </c>
      <c r="B96" s="110"/>
      <c r="C96" s="110"/>
      <c r="D96" s="110"/>
      <c r="E96" s="110"/>
      <c r="F96" s="110"/>
      <c r="G96" s="31">
        <f>IF(G94+G95-H97&lt;0,-(-ROUND(B59,0)+ROUND(C59,0)+ROUND(E59,0)-(ROUND(G59,0)-ROUND(H59,0)))," ")</f>
        <v>5</v>
      </c>
      <c r="H96" s="31" t="str">
        <f>IF(G94+G95-H97&gt;0,-ROUND(B59,0)+ROUND(C59,0)+ROUND(E59,0)-(ROUND(G59,0)-ROUND(H59,0))," ")</f>
        <v xml:space="preserve"> </v>
      </c>
      <c r="I96" s="1111" t="s">
        <v>119</v>
      </c>
      <c r="O96" s="325"/>
      <c r="P96" s="325"/>
      <c r="Q96" s="325"/>
    </row>
    <row r="97" spans="1:17" s="31" customFormat="1" ht="16.5" customHeight="1" x14ac:dyDescent="0.2">
      <c r="A97" s="325" t="s">
        <v>477</v>
      </c>
      <c r="B97" s="110"/>
      <c r="C97" s="110"/>
      <c r="D97" s="110"/>
      <c r="E97" s="110"/>
      <c r="F97" s="110"/>
      <c r="H97" s="31">
        <f>ROUND(B59,0)</f>
        <v>122</v>
      </c>
      <c r="I97" s="1110">
        <f>H97</f>
        <v>122</v>
      </c>
      <c r="O97" s="325"/>
      <c r="P97" s="325"/>
      <c r="Q97" s="325"/>
    </row>
    <row r="98" spans="1:17" s="31" customFormat="1" ht="16.5" customHeight="1" x14ac:dyDescent="0.2">
      <c r="A98" s="325" t="s">
        <v>1018</v>
      </c>
      <c r="B98" s="110"/>
      <c r="C98" s="110"/>
      <c r="D98" s="110"/>
      <c r="E98" s="110"/>
      <c r="F98" s="110"/>
      <c r="G98" s="31">
        <f>IF(G94+G95-H97&lt;0,-(ROUND(G59,0)-ROUND(H59,0)),0)</f>
        <v>3</v>
      </c>
      <c r="H98" s="31">
        <f>IF(G94+G95-H97&gt;0,ROUND(G59,0)-ROUND(H59,0),0)</f>
        <v>0</v>
      </c>
      <c r="I98" s="1110">
        <f>IF(G98=" ",H98,-G98)</f>
        <v>-3</v>
      </c>
      <c r="O98" s="325"/>
      <c r="P98" s="325"/>
      <c r="Q98" s="325"/>
    </row>
    <row r="99" spans="1:17" ht="16.5" customHeight="1" thickBot="1" x14ac:dyDescent="0.25">
      <c r="A99" s="1107" t="s">
        <v>468</v>
      </c>
      <c r="B99" s="1104"/>
      <c r="C99" s="1104"/>
      <c r="D99" s="1104"/>
      <c r="E99" s="1104"/>
      <c r="F99" s="1104"/>
      <c r="G99" s="1108">
        <f>SUM(G94:G98)</f>
        <v>122</v>
      </c>
      <c r="H99" s="1108">
        <f>SUM(H94:H98)</f>
        <v>122</v>
      </c>
      <c r="I99" s="1108">
        <f>SUM(I94:I98)</f>
        <v>5</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drawing r:id="rId2"/>
  <legacyDrawing r:id="rId3"/>
  <extLst>
    <ext xmlns:mx="http://schemas.microsoft.com/office/mac/excel/2008/main" uri="http://schemas.microsoft.com/office/mac/excel/2008/main">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66400"/>
  </sheetPr>
  <dimension ref="A1:Z107"/>
  <sheetViews>
    <sheetView view="pageBreakPreview" topLeftCell="A25" zoomScaleSheetLayoutView="100" workbookViewId="0">
      <selection activeCell="J12" sqref="J12"/>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26" s="575" customFormat="1" ht="15" customHeight="1" x14ac:dyDescent="0.2">
      <c r="A1" s="572" t="s">
        <v>363</v>
      </c>
      <c r="B1" s="572"/>
      <c r="C1" s="572"/>
      <c r="D1" s="573"/>
      <c r="E1" s="573"/>
      <c r="F1" s="574"/>
      <c r="G1" s="574"/>
      <c r="H1" s="574"/>
      <c r="I1" s="574"/>
      <c r="J1" s="574"/>
      <c r="K1" s="574"/>
      <c r="L1" s="574" t="s">
        <v>1075</v>
      </c>
      <c r="M1" s="574" t="s">
        <v>1075</v>
      </c>
      <c r="N1" s="574" t="s">
        <v>1075</v>
      </c>
      <c r="O1" s="575" t="s">
        <v>1075</v>
      </c>
      <c r="P1" s="575" t="s">
        <v>1075</v>
      </c>
      <c r="Q1" s="575" t="s">
        <v>1075</v>
      </c>
      <c r="R1" s="575" t="s">
        <v>1075</v>
      </c>
      <c r="S1" s="575" t="s">
        <v>1075</v>
      </c>
      <c r="T1" s="575" t="s">
        <v>1075</v>
      </c>
      <c r="U1" s="575" t="s">
        <v>1075</v>
      </c>
      <c r="V1" s="575" t="s">
        <v>1075</v>
      </c>
      <c r="W1" s="575" t="s">
        <v>1075</v>
      </c>
      <c r="X1" s="575" t="s">
        <v>1075</v>
      </c>
      <c r="Y1" s="575" t="s">
        <v>1075</v>
      </c>
      <c r="Z1" s="575" t="s">
        <v>1075</v>
      </c>
    </row>
    <row r="2" spans="1:26" ht="15" customHeight="1" x14ac:dyDescent="0.2">
      <c r="A2" s="392"/>
      <c r="B2" s="347"/>
      <c r="C2" s="347"/>
      <c r="D2" s="348"/>
      <c r="E2" s="348"/>
      <c r="J2" s="39"/>
    </row>
    <row r="3" spans="1:26" ht="15" customHeight="1" x14ac:dyDescent="0.2">
      <c r="A3" s="392"/>
      <c r="B3" s="347"/>
      <c r="C3" s="347"/>
      <c r="D3" s="348"/>
      <c r="E3" s="348"/>
      <c r="J3" s="39"/>
    </row>
    <row r="4" spans="1:26" ht="15" customHeight="1" x14ac:dyDescent="0.2">
      <c r="A4" s="347"/>
      <c r="B4" s="347"/>
      <c r="C4" s="347"/>
      <c r="D4" s="348"/>
      <c r="E4" s="348"/>
      <c r="J4" s="39"/>
    </row>
    <row r="5" spans="1:26" ht="15" customHeight="1" x14ac:dyDescent="0.2">
      <c r="A5" s="347"/>
      <c r="B5" s="347"/>
      <c r="C5" s="347"/>
      <c r="D5" s="348"/>
      <c r="E5" s="348"/>
      <c r="J5" s="39"/>
    </row>
    <row r="6" spans="1:26" ht="15" customHeight="1" x14ac:dyDescent="0.2">
      <c r="J6" s="39"/>
      <c r="L6" s="325"/>
      <c r="M6" s="325"/>
      <c r="N6" s="325"/>
    </row>
    <row r="7" spans="1:26" ht="15" customHeight="1" x14ac:dyDescent="0.2">
      <c r="A7" s="543" t="s">
        <v>611</v>
      </c>
      <c r="G7" s="31" t="s">
        <v>304</v>
      </c>
      <c r="J7" s="380">
        <f>C10+1</f>
        <v>2013</v>
      </c>
      <c r="L7" s="325"/>
      <c r="M7" s="325"/>
      <c r="N7" s="325"/>
    </row>
    <row r="8" spans="1:26" ht="15" customHeight="1" x14ac:dyDescent="0.2">
      <c r="G8" s="31" t="s">
        <v>33</v>
      </c>
      <c r="J8" s="381">
        <f>'IS Analysis Adjustments'!V26</f>
        <v>1189</v>
      </c>
      <c r="L8" s="325"/>
      <c r="M8" s="325"/>
      <c r="N8" s="325"/>
    </row>
    <row r="9" spans="1:26" ht="15" customHeight="1" x14ac:dyDescent="0.2">
      <c r="C9" s="39"/>
      <c r="D9" s="36"/>
      <c r="E9" s="36"/>
      <c r="F9" s="39"/>
      <c r="G9" s="31" t="s">
        <v>1070</v>
      </c>
      <c r="J9" s="381">
        <f>'IS Analysis Adjustments'!V27</f>
        <v>455</v>
      </c>
      <c r="L9" s="325"/>
      <c r="M9" s="325"/>
      <c r="N9" s="325"/>
    </row>
    <row r="10" spans="1:26" ht="15" customHeight="1" x14ac:dyDescent="0.2">
      <c r="A10" s="31" t="s">
        <v>463</v>
      </c>
      <c r="B10" s="39"/>
      <c r="C10" s="576">
        <f>'IS Analysis Adjustments'!L1</f>
        <v>2012</v>
      </c>
      <c r="G10" s="39" t="s">
        <v>337</v>
      </c>
      <c r="H10" s="39"/>
      <c r="I10" s="39"/>
      <c r="J10" s="44">
        <f>J9/J8</f>
        <v>0.3826745164003364</v>
      </c>
      <c r="L10" s="325"/>
      <c r="M10" s="325"/>
      <c r="N10" s="325"/>
    </row>
    <row r="11" spans="1:26" ht="15" customHeight="1" x14ac:dyDescent="0.2">
      <c r="C11" s="36"/>
      <c r="D11" s="36"/>
      <c r="E11" s="36"/>
      <c r="F11" s="36"/>
      <c r="G11" s="39" t="s">
        <v>305</v>
      </c>
      <c r="H11" s="39"/>
      <c r="I11" s="39"/>
      <c r="J11" s="379">
        <v>4.3999999999999997E-2</v>
      </c>
      <c r="L11" s="325"/>
      <c r="M11" s="325"/>
      <c r="N11" s="325"/>
    </row>
    <row r="12" spans="1:26" ht="15" customHeight="1" x14ac:dyDescent="0.2">
      <c r="B12" s="347"/>
      <c r="C12" s="378" t="s">
        <v>306</v>
      </c>
      <c r="D12" s="378"/>
      <c r="E12" s="378"/>
      <c r="F12" s="378"/>
    </row>
    <row r="13" spans="1:26" ht="15" customHeight="1" x14ac:dyDescent="0.2">
      <c r="B13" s="351" t="s">
        <v>63</v>
      </c>
      <c r="C13" s="350" t="s">
        <v>110</v>
      </c>
      <c r="D13" s="350"/>
      <c r="E13" s="383" t="s">
        <v>307</v>
      </c>
      <c r="F13" s="383" t="s">
        <v>45</v>
      </c>
      <c r="I13" s="216"/>
    </row>
    <row r="14" spans="1:26" ht="15" customHeight="1" x14ac:dyDescent="0.2">
      <c r="A14" s="352">
        <v>1</v>
      </c>
      <c r="B14" s="382">
        <f>C10+1</f>
        <v>2013</v>
      </c>
      <c r="C14" s="1251">
        <v>153</v>
      </c>
      <c r="D14" s="66"/>
      <c r="E14" s="384" t="s">
        <v>464</v>
      </c>
      <c r="F14" s="384" t="s">
        <v>464</v>
      </c>
    </row>
    <row r="15" spans="1:26" ht="15" customHeight="1" x14ac:dyDescent="0.2">
      <c r="A15" s="352">
        <v>2</v>
      </c>
      <c r="B15" s="382">
        <f>B14+1</f>
        <v>2014</v>
      </c>
      <c r="C15" s="1252">
        <v>159</v>
      </c>
      <c r="D15" s="32"/>
      <c r="E15" s="270"/>
      <c r="F15" s="270"/>
    </row>
    <row r="16" spans="1:26" ht="15" customHeight="1" x14ac:dyDescent="0.2">
      <c r="A16" s="352">
        <v>3</v>
      </c>
      <c r="B16" s="382">
        <f>B15+1</f>
        <v>2015</v>
      </c>
      <c r="C16" s="1252">
        <v>158</v>
      </c>
      <c r="D16" s="32"/>
      <c r="E16" s="270"/>
      <c r="F16" s="270"/>
    </row>
    <row r="17" spans="1:14" ht="15" customHeight="1" x14ac:dyDescent="0.2">
      <c r="A17" s="352">
        <v>4</v>
      </c>
      <c r="B17" s="382">
        <f>B16+1</f>
        <v>2016</v>
      </c>
      <c r="C17" s="1252">
        <v>155</v>
      </c>
      <c r="D17" s="32"/>
      <c r="E17" s="270"/>
      <c r="F17" s="270"/>
    </row>
    <row r="18" spans="1:14" ht="15" customHeight="1" x14ac:dyDescent="0.2">
      <c r="A18" s="352">
        <v>5</v>
      </c>
      <c r="B18" s="382">
        <f>B17+1</f>
        <v>2017</v>
      </c>
      <c r="C18" s="1252">
        <v>144</v>
      </c>
      <c r="D18" s="353" t="s">
        <v>156</v>
      </c>
      <c r="E18" s="270"/>
      <c r="F18" s="270"/>
    </row>
    <row r="19" spans="1:14" ht="15" customHeight="1" x14ac:dyDescent="0.2">
      <c r="A19" s="354"/>
      <c r="B19" s="355" t="s">
        <v>112</v>
      </c>
      <c r="C19" s="1253">
        <v>850</v>
      </c>
      <c r="D19" s="356" t="s">
        <v>155</v>
      </c>
      <c r="E19" s="270"/>
      <c r="F19" s="270"/>
    </row>
    <row r="20" spans="1:14" ht="15" customHeight="1" thickBot="1" x14ac:dyDescent="0.25">
      <c r="B20" s="352" t="s">
        <v>45</v>
      </c>
      <c r="C20" s="237">
        <f>SUM(C14:C19)</f>
        <v>1619</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6</v>
      </c>
    </row>
    <row r="23" spans="1:14" ht="15" customHeight="1" x14ac:dyDescent="0.2">
      <c r="A23" s="112" t="s">
        <v>466</v>
      </c>
      <c r="F23" s="358">
        <f>IF(A18+F22&gt;20,20,A18+F22)</f>
        <v>11</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s="346" customFormat="1" ht="15" customHeight="1" x14ac:dyDescent="0.2">
      <c r="A28" s="1086" t="s">
        <v>423</v>
      </c>
      <c r="B28" s="1086" t="s">
        <v>424</v>
      </c>
      <c r="C28" s="1086"/>
      <c r="D28" s="1087"/>
      <c r="E28" s="1088"/>
      <c r="F28" s="1086" t="s">
        <v>425</v>
      </c>
      <c r="G28" s="1086"/>
      <c r="H28" s="1086" t="s">
        <v>426</v>
      </c>
      <c r="I28" s="1086"/>
      <c r="J28" s="1086" t="s">
        <v>427</v>
      </c>
      <c r="K28" s="1086" t="s">
        <v>428</v>
      </c>
    </row>
    <row r="29" spans="1:14" s="346" customFormat="1" ht="15" customHeight="1" x14ac:dyDescent="0.2">
      <c r="A29" s="1089" t="s">
        <v>429</v>
      </c>
      <c r="B29" s="1089" t="s">
        <v>430</v>
      </c>
      <c r="C29" s="1089"/>
      <c r="D29" s="1090"/>
      <c r="E29" s="1091"/>
      <c r="F29" s="1089" t="s">
        <v>431</v>
      </c>
      <c r="G29" s="1089" t="s">
        <v>432</v>
      </c>
      <c r="H29" s="1089" t="s">
        <v>433</v>
      </c>
      <c r="I29" s="1089" t="s">
        <v>114</v>
      </c>
      <c r="J29" s="1089" t="s">
        <v>434</v>
      </c>
      <c r="K29" s="1089" t="s">
        <v>435</v>
      </c>
    </row>
    <row r="30" spans="1:14" s="346" customFormat="1"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row>
    <row r="31" spans="1:14" ht="15" customHeight="1" x14ac:dyDescent="0.2">
      <c r="A31" s="130">
        <v>0</v>
      </c>
      <c r="B31" s="386">
        <f>C10</f>
        <v>2012</v>
      </c>
      <c r="C31" s="111"/>
      <c r="D31" s="33"/>
      <c r="F31" s="33"/>
      <c r="G31" s="33"/>
      <c r="H31" s="365"/>
      <c r="I31" s="393">
        <f>F52</f>
        <v>1269.9544242380819</v>
      </c>
      <c r="J31" s="393">
        <f>I31</f>
        <v>1269.9544242380819</v>
      </c>
      <c r="K31" s="365"/>
      <c r="L31" s="325"/>
      <c r="M31" s="325"/>
      <c r="N31" s="325"/>
    </row>
    <row r="32" spans="1:14" ht="15" customHeight="1" x14ac:dyDescent="0.2">
      <c r="A32" s="1152">
        <v>1</v>
      </c>
      <c r="B32" s="855">
        <f t="shared" ref="B32:C36" si="0">B14</f>
        <v>2013</v>
      </c>
      <c r="C32" s="1151">
        <f t="shared" si="0"/>
        <v>153</v>
      </c>
      <c r="D32" s="365"/>
      <c r="E32" s="366">
        <f t="shared" ref="E32:E51" si="1">1/(1+J$11)^A32</f>
        <v>0.95785440613026818</v>
      </c>
      <c r="F32" s="388">
        <f>C32*E32</f>
        <v>146.55172413793102</v>
      </c>
      <c r="G32" s="389">
        <f>I31*J$11</f>
        <v>55.877994666475601</v>
      </c>
      <c r="H32" s="390">
        <f>C32-G32</f>
        <v>97.122005333524399</v>
      </c>
      <c r="I32" s="347">
        <f>I31-H32</f>
        <v>1172.8324189045575</v>
      </c>
      <c r="J32" s="365">
        <f>J31-K32</f>
        <v>1154.5040220346198</v>
      </c>
      <c r="K32" s="391">
        <f>IF(A32&gt;F$23,0,I$31/F$23)</f>
        <v>115.45040220346199</v>
      </c>
      <c r="L32" s="365"/>
      <c r="M32" s="365"/>
      <c r="N32" s="365"/>
    </row>
    <row r="33" spans="1:17" ht="15" customHeight="1" x14ac:dyDescent="0.2">
      <c r="A33" s="93">
        <v>2</v>
      </c>
      <c r="B33" s="855">
        <f t="shared" si="0"/>
        <v>2014</v>
      </c>
      <c r="C33" s="32">
        <f t="shared" si="0"/>
        <v>159</v>
      </c>
      <c r="E33" s="366">
        <f t="shared" si="1"/>
        <v>0.91748506334316871</v>
      </c>
      <c r="F33" s="365">
        <f>C33*E33</f>
        <v>145.88012507156381</v>
      </c>
      <c r="G33" s="372">
        <f>I32*J$11</f>
        <v>51.604626431800526</v>
      </c>
      <c r="H33" s="373">
        <f>C33-G33</f>
        <v>107.39537356819947</v>
      </c>
      <c r="I33" s="373">
        <f>I32-H33</f>
        <v>1065.4370453363581</v>
      </c>
      <c r="J33" s="365">
        <f t="shared" ref="J33:J51" si="2">J32-K33</f>
        <v>1039.0536198311577</v>
      </c>
      <c r="K33" s="373">
        <f>IF(A33&gt;F$23,0,I$31/F$23)</f>
        <v>115.45040220346199</v>
      </c>
    </row>
    <row r="34" spans="1:17" ht="15" customHeight="1" x14ac:dyDescent="0.2">
      <c r="A34" s="93">
        <v>3</v>
      </c>
      <c r="B34" s="855">
        <f t="shared" si="0"/>
        <v>2015</v>
      </c>
      <c r="C34" s="32">
        <f t="shared" si="0"/>
        <v>158</v>
      </c>
      <c r="E34" s="366">
        <f t="shared" si="1"/>
        <v>0.87881711048196232</v>
      </c>
      <c r="F34" s="365">
        <f t="shared" ref="F34:F51" si="3">C34*E34</f>
        <v>138.85310345615005</v>
      </c>
      <c r="G34" s="372">
        <f t="shared" ref="G34:G51" si="4">I33*J$11</f>
        <v>46.879229994799751</v>
      </c>
      <c r="H34" s="373">
        <f t="shared" ref="H34:H51" si="5">C34-G34</f>
        <v>111.12077000520026</v>
      </c>
      <c r="I34" s="373">
        <f t="shared" ref="I34:I51" si="6">I33-H34</f>
        <v>954.31627533115784</v>
      </c>
      <c r="J34" s="365">
        <f t="shared" si="2"/>
        <v>923.6032176276957</v>
      </c>
      <c r="K34" s="373">
        <f t="shared" ref="K34:K51" si="7">IF(A34&gt;F$23,0,I$31/F$23)</f>
        <v>115.45040220346199</v>
      </c>
    </row>
    <row r="35" spans="1:17" s="31" customFormat="1" ht="15" customHeight="1" x14ac:dyDescent="0.2">
      <c r="A35" s="93">
        <v>4</v>
      </c>
      <c r="B35" s="855">
        <f t="shared" si="0"/>
        <v>2016</v>
      </c>
      <c r="C35" s="32">
        <f t="shared" si="0"/>
        <v>155</v>
      </c>
      <c r="E35" s="366">
        <f t="shared" si="1"/>
        <v>0.84177884145781834</v>
      </c>
      <c r="F35" s="365">
        <f t="shared" si="3"/>
        <v>130.47572042596184</v>
      </c>
      <c r="G35" s="372">
        <f t="shared" si="4"/>
        <v>41.989916114570946</v>
      </c>
      <c r="H35" s="373">
        <f t="shared" si="5"/>
        <v>113.01008388542905</v>
      </c>
      <c r="I35" s="373">
        <f t="shared" si="6"/>
        <v>841.30619144572881</v>
      </c>
      <c r="J35" s="365">
        <f t="shared" si="2"/>
        <v>808.15281542423372</v>
      </c>
      <c r="K35" s="373">
        <f t="shared" si="7"/>
        <v>115.45040220346199</v>
      </c>
      <c r="O35" s="325"/>
      <c r="P35" s="325"/>
      <c r="Q35" s="325"/>
    </row>
    <row r="36" spans="1:17" s="31" customFormat="1" ht="15" customHeight="1" x14ac:dyDescent="0.2">
      <c r="A36" s="93">
        <v>5</v>
      </c>
      <c r="B36" s="855">
        <f t="shared" si="0"/>
        <v>2017</v>
      </c>
      <c r="C36" s="32">
        <f t="shared" si="0"/>
        <v>144</v>
      </c>
      <c r="E36" s="366">
        <f t="shared" si="1"/>
        <v>0.8063015722776038</v>
      </c>
      <c r="F36" s="365">
        <f t="shared" si="3"/>
        <v>116.10742640797494</v>
      </c>
      <c r="G36" s="372">
        <f t="shared" si="4"/>
        <v>37.017472423612062</v>
      </c>
      <c r="H36" s="373">
        <f t="shared" si="5"/>
        <v>106.98252757638794</v>
      </c>
      <c r="I36" s="373">
        <f t="shared" si="6"/>
        <v>734.32366386934086</v>
      </c>
      <c r="J36" s="365">
        <f t="shared" si="2"/>
        <v>692.70241322077175</v>
      </c>
      <c r="K36" s="373">
        <f t="shared" si="7"/>
        <v>115.45040220346199</v>
      </c>
      <c r="O36" s="325"/>
      <c r="P36" s="325"/>
      <c r="Q36" s="325"/>
    </row>
    <row r="37" spans="1:17" s="31" customFormat="1" ht="15" customHeight="1" x14ac:dyDescent="0.2">
      <c r="A37" s="93">
        <f t="shared" ref="A37:B51" si="8">A36+1</f>
        <v>6</v>
      </c>
      <c r="B37" s="855">
        <f>B36+1</f>
        <v>2018</v>
      </c>
      <c r="C37" s="1153">
        <f>IF(A37&gt;F$23,0,IF(A37=F$23,C$20-SUM(C$32:C36),C$18))</f>
        <v>144</v>
      </c>
      <c r="E37" s="366">
        <f t="shared" si="1"/>
        <v>0.7723195136758656</v>
      </c>
      <c r="F37" s="365">
        <f t="shared" si="3"/>
        <v>111.21400996932465</v>
      </c>
      <c r="G37" s="372">
        <f t="shared" si="4"/>
        <v>32.310241210250993</v>
      </c>
      <c r="H37" s="373">
        <f t="shared" si="5"/>
        <v>111.68975878974901</v>
      </c>
      <c r="I37" s="373">
        <f t="shared" si="6"/>
        <v>622.63390507959184</v>
      </c>
      <c r="J37" s="365">
        <f t="shared" si="2"/>
        <v>577.25201101730977</v>
      </c>
      <c r="K37" s="373">
        <f t="shared" si="7"/>
        <v>115.45040220346199</v>
      </c>
      <c r="O37" s="325"/>
      <c r="P37" s="325"/>
      <c r="Q37" s="325"/>
    </row>
    <row r="38" spans="1:17" s="31" customFormat="1" ht="15" customHeight="1" x14ac:dyDescent="0.2">
      <c r="A38" s="93">
        <f t="shared" si="8"/>
        <v>7</v>
      </c>
      <c r="B38" s="855">
        <f t="shared" si="8"/>
        <v>2019</v>
      </c>
      <c r="C38" s="1153">
        <f>IF(A38&gt;F$23,0,IF(A38=F$23,C$20-SUM(C$32:C37),C$18))</f>
        <v>144</v>
      </c>
      <c r="E38" s="366">
        <f t="shared" si="1"/>
        <v>0.7397696491148138</v>
      </c>
      <c r="F38" s="365">
        <f t="shared" si="3"/>
        <v>106.52682947253319</v>
      </c>
      <c r="G38" s="372">
        <f t="shared" si="4"/>
        <v>27.395891823502041</v>
      </c>
      <c r="H38" s="373">
        <f t="shared" si="5"/>
        <v>116.60410817649796</v>
      </c>
      <c r="I38" s="373">
        <f t="shared" si="6"/>
        <v>506.02979690309388</v>
      </c>
      <c r="J38" s="365">
        <f t="shared" si="2"/>
        <v>461.80160881384779</v>
      </c>
      <c r="K38" s="373">
        <f t="shared" si="7"/>
        <v>115.45040220346199</v>
      </c>
      <c r="O38" s="325"/>
      <c r="P38" s="325"/>
      <c r="Q38" s="325"/>
    </row>
    <row r="39" spans="1:17" s="31" customFormat="1" ht="15" customHeight="1" x14ac:dyDescent="0.2">
      <c r="A39" s="93">
        <f t="shared" si="8"/>
        <v>8</v>
      </c>
      <c r="B39" s="855">
        <f t="shared" si="8"/>
        <v>2020</v>
      </c>
      <c r="C39" s="1153">
        <f>IF(A39&gt;F$23,0,IF(A39=F$23,C$20-SUM(C$32:C38),C$18))</f>
        <v>144</v>
      </c>
      <c r="E39" s="366">
        <f t="shared" si="1"/>
        <v>0.70859161792606684</v>
      </c>
      <c r="F39" s="365">
        <f t="shared" si="3"/>
        <v>102.03719298135363</v>
      </c>
      <c r="G39" s="372">
        <f t="shared" si="4"/>
        <v>22.265311063736128</v>
      </c>
      <c r="H39" s="373">
        <f t="shared" si="5"/>
        <v>121.73468893626386</v>
      </c>
      <c r="I39" s="373">
        <f t="shared" si="6"/>
        <v>384.29510796683002</v>
      </c>
      <c r="J39" s="365">
        <f t="shared" si="2"/>
        <v>346.35120661038582</v>
      </c>
      <c r="K39" s="373">
        <f t="shared" si="7"/>
        <v>115.45040220346199</v>
      </c>
      <c r="O39" s="325"/>
      <c r="P39" s="325"/>
      <c r="Q39" s="325"/>
    </row>
    <row r="40" spans="1:17" s="31" customFormat="1" ht="15" customHeight="1" x14ac:dyDescent="0.2">
      <c r="A40" s="93">
        <f t="shared" si="8"/>
        <v>9</v>
      </c>
      <c r="B40" s="855">
        <f t="shared" si="8"/>
        <v>2021</v>
      </c>
      <c r="C40" s="1153">
        <f>IF(A40&gt;F$23,0,IF(A40=F$23,C$20-SUM(C$32:C39),C$18))</f>
        <v>144</v>
      </c>
      <c r="E40" s="366">
        <f t="shared" si="1"/>
        <v>0.67872760337745863</v>
      </c>
      <c r="F40" s="365">
        <f t="shared" si="3"/>
        <v>97.736774886354041</v>
      </c>
      <c r="G40" s="372">
        <f t="shared" si="4"/>
        <v>16.908984750540519</v>
      </c>
      <c r="H40" s="373">
        <f t="shared" si="5"/>
        <v>127.09101524945947</v>
      </c>
      <c r="I40" s="373">
        <f t="shared" si="6"/>
        <v>257.20409271737054</v>
      </c>
      <c r="J40" s="365">
        <f t="shared" si="2"/>
        <v>230.90080440692384</v>
      </c>
      <c r="K40" s="373">
        <f t="shared" si="7"/>
        <v>115.45040220346199</v>
      </c>
      <c r="O40" s="325"/>
      <c r="P40" s="325"/>
      <c r="Q40" s="325"/>
    </row>
    <row r="41" spans="1:17" s="31" customFormat="1" ht="15" customHeight="1" x14ac:dyDescent="0.2">
      <c r="A41" s="93">
        <f t="shared" si="8"/>
        <v>10</v>
      </c>
      <c r="B41" s="855">
        <f t="shared" si="8"/>
        <v>2022</v>
      </c>
      <c r="C41" s="1153">
        <f>IF(A41&gt;F$23,0,IF(A41=F$23,C$20-SUM(C$32:C40),C$18))</f>
        <v>144</v>
      </c>
      <c r="E41" s="366">
        <f t="shared" si="1"/>
        <v>0.65012222545733589</v>
      </c>
      <c r="F41" s="365">
        <f t="shared" si="3"/>
        <v>93.61760046585637</v>
      </c>
      <c r="G41" s="372">
        <f t="shared" si="4"/>
        <v>11.316980079564303</v>
      </c>
      <c r="H41" s="373">
        <f t="shared" si="5"/>
        <v>132.6830199204357</v>
      </c>
      <c r="I41" s="373">
        <f t="shared" si="6"/>
        <v>124.52107279693485</v>
      </c>
      <c r="J41" s="365">
        <f t="shared" si="2"/>
        <v>115.45040220346185</v>
      </c>
      <c r="K41" s="373">
        <f t="shared" si="7"/>
        <v>115.45040220346199</v>
      </c>
      <c r="O41" s="325"/>
      <c r="P41" s="325"/>
      <c r="Q41" s="325"/>
    </row>
    <row r="42" spans="1:17" s="31" customFormat="1" ht="15" customHeight="1" x14ac:dyDescent="0.2">
      <c r="A42" s="93">
        <f t="shared" si="8"/>
        <v>11</v>
      </c>
      <c r="B42" s="855">
        <f t="shared" si="8"/>
        <v>2023</v>
      </c>
      <c r="C42" s="1153">
        <f>IF(A42&gt;F$23,0,IF(A42=F$23,C$20-SUM(C$32:C41),C$18))</f>
        <v>130</v>
      </c>
      <c r="E42" s="366">
        <f t="shared" si="1"/>
        <v>0.62272243817752471</v>
      </c>
      <c r="F42" s="365">
        <f t="shared" si="3"/>
        <v>80.953916963078214</v>
      </c>
      <c r="G42" s="372">
        <f t="shared" si="4"/>
        <v>5.4789272030651333</v>
      </c>
      <c r="H42" s="373">
        <f t="shared" si="5"/>
        <v>124.52107279693487</v>
      </c>
      <c r="I42" s="373">
        <f t="shared" si="6"/>
        <v>0</v>
      </c>
      <c r="J42" s="365">
        <f t="shared" si="2"/>
        <v>-1.4210854715202004E-13</v>
      </c>
      <c r="K42" s="373">
        <f t="shared" si="7"/>
        <v>115.45040220346199</v>
      </c>
      <c r="O42" s="325"/>
      <c r="P42" s="325"/>
      <c r="Q42" s="325"/>
    </row>
    <row r="43" spans="1:17" s="31" customFormat="1" ht="15" customHeight="1" x14ac:dyDescent="0.2">
      <c r="A43" s="93">
        <f t="shared" si="8"/>
        <v>12</v>
      </c>
      <c r="B43" s="855">
        <f t="shared" si="8"/>
        <v>2024</v>
      </c>
      <c r="C43" s="1153">
        <f>IF(A43&gt;F$23,0,IF(A43=F$23,C$20-SUM(C$32:C42),C$18))</f>
        <v>0</v>
      </c>
      <c r="E43" s="366">
        <f t="shared" si="1"/>
        <v>0.59647743120452557</v>
      </c>
      <c r="F43" s="365">
        <f t="shared" si="3"/>
        <v>0</v>
      </c>
      <c r="G43" s="372">
        <f t="shared" si="4"/>
        <v>0</v>
      </c>
      <c r="H43" s="373">
        <f t="shared" si="5"/>
        <v>0</v>
      </c>
      <c r="I43" s="373">
        <f t="shared" si="6"/>
        <v>0</v>
      </c>
      <c r="J43" s="365">
        <f t="shared" si="2"/>
        <v>-1.4210854715202004E-13</v>
      </c>
      <c r="K43" s="373">
        <f t="shared" si="7"/>
        <v>0</v>
      </c>
      <c r="O43" s="325"/>
      <c r="P43" s="325"/>
      <c r="Q43" s="325"/>
    </row>
    <row r="44" spans="1:17" s="31" customFormat="1" ht="15" customHeight="1" x14ac:dyDescent="0.2">
      <c r="A44" s="93">
        <f t="shared" si="8"/>
        <v>13</v>
      </c>
      <c r="B44" s="855">
        <f t="shared" si="8"/>
        <v>2025</v>
      </c>
      <c r="C44" s="1153">
        <f>IF(A44&gt;F$23,0,IF(A44=F$23,C$20-SUM(C$32:C43),C$18))</f>
        <v>0</v>
      </c>
      <c r="E44" s="366">
        <f t="shared" si="1"/>
        <v>0.57133853563651882</v>
      </c>
      <c r="F44" s="365">
        <f t="shared" si="3"/>
        <v>0</v>
      </c>
      <c r="G44" s="372">
        <f t="shared" si="4"/>
        <v>0</v>
      </c>
      <c r="H44" s="373">
        <f t="shared" si="5"/>
        <v>0</v>
      </c>
      <c r="I44" s="373">
        <f t="shared" si="6"/>
        <v>0</v>
      </c>
      <c r="J44" s="365">
        <f t="shared" si="2"/>
        <v>-1.4210854715202004E-13</v>
      </c>
      <c r="K44" s="373">
        <f t="shared" si="7"/>
        <v>0</v>
      </c>
      <c r="O44" s="325"/>
      <c r="P44" s="325"/>
      <c r="Q44" s="325"/>
    </row>
    <row r="45" spans="1:17" s="31" customFormat="1" ht="15" customHeight="1" x14ac:dyDescent="0.2">
      <c r="A45" s="93">
        <f t="shared" si="8"/>
        <v>14</v>
      </c>
      <c r="B45" s="855">
        <f t="shared" si="8"/>
        <v>2026</v>
      </c>
      <c r="C45" s="1153">
        <f>IF(A45&gt;F$23,0,IF(A45=F$23,C$20-SUM(C$32:C44),C$18))</f>
        <v>0</v>
      </c>
      <c r="E45" s="366">
        <f t="shared" si="1"/>
        <v>0.54725913375145474</v>
      </c>
      <c r="F45" s="365">
        <f t="shared" si="3"/>
        <v>0</v>
      </c>
      <c r="G45" s="372">
        <f t="shared" si="4"/>
        <v>0</v>
      </c>
      <c r="H45" s="373">
        <f t="shared" si="5"/>
        <v>0</v>
      </c>
      <c r="I45" s="373">
        <f t="shared" si="6"/>
        <v>0</v>
      </c>
      <c r="J45" s="365">
        <f t="shared" si="2"/>
        <v>-1.4210854715202004E-13</v>
      </c>
      <c r="K45" s="373">
        <f t="shared" si="7"/>
        <v>0</v>
      </c>
      <c r="O45" s="325"/>
      <c r="P45" s="325"/>
      <c r="Q45" s="325"/>
    </row>
    <row r="46" spans="1:17" s="31" customFormat="1" ht="15" customHeight="1" x14ac:dyDescent="0.2">
      <c r="A46" s="93">
        <f t="shared" si="8"/>
        <v>15</v>
      </c>
      <c r="B46" s="855">
        <f t="shared" si="8"/>
        <v>2027</v>
      </c>
      <c r="C46" s="1153">
        <f>IF(A46&gt;F$23,0,IF(A46=F$23,C$20-SUM(C$32:C45),C$18))</f>
        <v>0</v>
      </c>
      <c r="E46" s="366">
        <f t="shared" si="1"/>
        <v>0.52419457255886459</v>
      </c>
      <c r="F46" s="365">
        <f t="shared" si="3"/>
        <v>0</v>
      </c>
      <c r="G46" s="372">
        <f t="shared" si="4"/>
        <v>0</v>
      </c>
      <c r="H46" s="373">
        <f t="shared" si="5"/>
        <v>0</v>
      </c>
      <c r="I46" s="373">
        <f t="shared" si="6"/>
        <v>0</v>
      </c>
      <c r="J46" s="365">
        <f t="shared" si="2"/>
        <v>-1.4210854715202004E-13</v>
      </c>
      <c r="K46" s="373">
        <f t="shared" si="7"/>
        <v>0</v>
      </c>
      <c r="O46" s="325"/>
      <c r="P46" s="325"/>
      <c r="Q46" s="325"/>
    </row>
    <row r="47" spans="1:17" s="31" customFormat="1" ht="15" customHeight="1" x14ac:dyDescent="0.2">
      <c r="A47" s="93">
        <f t="shared" si="8"/>
        <v>16</v>
      </c>
      <c r="B47" s="855">
        <f t="shared" si="8"/>
        <v>2028</v>
      </c>
      <c r="C47" s="1153">
        <f>IF(A47&gt;F$23,0,IF(A47=F$23,C$20-SUM(C$32:C46),C$18))</f>
        <v>0</v>
      </c>
      <c r="E47" s="366">
        <f t="shared" si="1"/>
        <v>0.50210208099508113</v>
      </c>
      <c r="F47" s="365">
        <f t="shared" si="3"/>
        <v>0</v>
      </c>
      <c r="G47" s="372">
        <f t="shared" si="4"/>
        <v>0</v>
      </c>
      <c r="H47" s="373">
        <f t="shared" si="5"/>
        <v>0</v>
      </c>
      <c r="I47" s="373">
        <f t="shared" si="6"/>
        <v>0</v>
      </c>
      <c r="J47" s="365">
        <f t="shared" si="2"/>
        <v>-1.4210854715202004E-13</v>
      </c>
      <c r="K47" s="373">
        <f t="shared" si="7"/>
        <v>0</v>
      </c>
      <c r="O47" s="325"/>
      <c r="P47" s="325"/>
      <c r="Q47" s="325"/>
    </row>
    <row r="48" spans="1:17" s="31" customFormat="1" ht="15" customHeight="1" x14ac:dyDescent="0.2">
      <c r="A48" s="93">
        <f t="shared" si="8"/>
        <v>17</v>
      </c>
      <c r="B48" s="855">
        <f t="shared" si="8"/>
        <v>2029</v>
      </c>
      <c r="C48" s="1153">
        <f>IF(A48&gt;F$23,0,IF(A48=F$23,C$20-SUM(C$32:C47),C$18))</f>
        <v>0</v>
      </c>
      <c r="E48" s="366">
        <f t="shared" si="1"/>
        <v>0.48094069060831529</v>
      </c>
      <c r="F48" s="365">
        <f t="shared" si="3"/>
        <v>0</v>
      </c>
      <c r="G48" s="372">
        <f t="shared" si="4"/>
        <v>0</v>
      </c>
      <c r="H48" s="373">
        <f t="shared" si="5"/>
        <v>0</v>
      </c>
      <c r="I48" s="373">
        <f t="shared" si="6"/>
        <v>0</v>
      </c>
      <c r="J48" s="365">
        <f t="shared" si="2"/>
        <v>-1.4210854715202004E-13</v>
      </c>
      <c r="K48" s="373">
        <f t="shared" si="7"/>
        <v>0</v>
      </c>
      <c r="O48" s="325"/>
      <c r="P48" s="325"/>
      <c r="Q48" s="325"/>
    </row>
    <row r="49" spans="1:17" s="31" customFormat="1" ht="15" customHeight="1" x14ac:dyDescent="0.2">
      <c r="A49" s="93">
        <f t="shared" si="8"/>
        <v>18</v>
      </c>
      <c r="B49" s="855">
        <f t="shared" si="8"/>
        <v>2030</v>
      </c>
      <c r="C49" s="1153">
        <f>IF(A49&gt;F$23,0,IF(A49=F$23,C$20-SUM(C$32:C48),C$18))</f>
        <v>0</v>
      </c>
      <c r="E49" s="366">
        <f t="shared" si="1"/>
        <v>0.46067115958650884</v>
      </c>
      <c r="F49" s="365">
        <f t="shared" si="3"/>
        <v>0</v>
      </c>
      <c r="G49" s="372">
        <f t="shared" si="4"/>
        <v>0</v>
      </c>
      <c r="H49" s="373">
        <f t="shared" si="5"/>
        <v>0</v>
      </c>
      <c r="I49" s="373">
        <f t="shared" si="6"/>
        <v>0</v>
      </c>
      <c r="J49" s="365">
        <f t="shared" si="2"/>
        <v>-1.4210854715202004E-13</v>
      </c>
      <c r="K49" s="373">
        <f t="shared" si="7"/>
        <v>0</v>
      </c>
      <c r="O49" s="325"/>
      <c r="P49" s="325"/>
      <c r="Q49" s="325"/>
    </row>
    <row r="50" spans="1:17" s="31" customFormat="1" ht="15" customHeight="1" x14ac:dyDescent="0.2">
      <c r="A50" s="93">
        <f t="shared" si="8"/>
        <v>19</v>
      </c>
      <c r="B50" s="855">
        <f t="shared" si="8"/>
        <v>2031</v>
      </c>
      <c r="C50" s="1153">
        <f>IF(A50&gt;F$23,0,IF(A50=F$23,C$20-SUM(C$32:C49),C$18))</f>
        <v>0</v>
      </c>
      <c r="E50" s="366">
        <f t="shared" si="1"/>
        <v>0.44125589998707743</v>
      </c>
      <c r="F50" s="365">
        <f t="shared" si="3"/>
        <v>0</v>
      </c>
      <c r="G50" s="372">
        <f t="shared" si="4"/>
        <v>0</v>
      </c>
      <c r="H50" s="373">
        <f t="shared" si="5"/>
        <v>0</v>
      </c>
      <c r="I50" s="373">
        <f t="shared" si="6"/>
        <v>0</v>
      </c>
      <c r="J50" s="365">
        <f t="shared" si="2"/>
        <v>-1.4210854715202004E-13</v>
      </c>
      <c r="K50" s="373">
        <f t="shared" si="7"/>
        <v>0</v>
      </c>
      <c r="O50" s="325"/>
      <c r="P50" s="325"/>
      <c r="Q50" s="325"/>
    </row>
    <row r="51" spans="1:17" ht="15" customHeight="1" x14ac:dyDescent="0.2">
      <c r="A51" s="93">
        <f t="shared" si="8"/>
        <v>20</v>
      </c>
      <c r="B51" s="855">
        <f t="shared" si="8"/>
        <v>2032</v>
      </c>
      <c r="C51" s="1153">
        <f>IF(A51&gt;F$23,0,IF(A51=F$23,C$20-SUM(C$32:C50),C$18))</f>
        <v>0</v>
      </c>
      <c r="E51" s="366">
        <f t="shared" si="1"/>
        <v>0.42265890803359907</v>
      </c>
      <c r="F51" s="365">
        <f t="shared" si="3"/>
        <v>0</v>
      </c>
      <c r="G51" s="372">
        <f t="shared" si="4"/>
        <v>0</v>
      </c>
      <c r="H51" s="373">
        <f t="shared" si="5"/>
        <v>0</v>
      </c>
      <c r="I51" s="373">
        <f t="shared" si="6"/>
        <v>0</v>
      </c>
      <c r="J51" s="365">
        <f t="shared" si="2"/>
        <v>-1.4210854715202004E-13</v>
      </c>
      <c r="K51" s="373">
        <f t="shared" si="7"/>
        <v>0</v>
      </c>
    </row>
    <row r="52" spans="1:17" ht="15" customHeight="1" thickBot="1" x14ac:dyDescent="0.25">
      <c r="A52" s="352" t="s">
        <v>441</v>
      </c>
      <c r="C52" s="387">
        <f>SUM(C32:C51)</f>
        <v>1619</v>
      </c>
      <c r="F52" s="387">
        <f>SUM(F32:F51)</f>
        <v>1269.9544242380819</v>
      </c>
      <c r="G52" s="387">
        <f>SUM(G32:G51)</f>
        <v>349.04557576191803</v>
      </c>
      <c r="H52" s="387">
        <f>SUM(H32:H51)</f>
        <v>1269.9544242380821</v>
      </c>
      <c r="I52" s="120"/>
      <c r="J52" s="120"/>
      <c r="K52" s="387">
        <f>SUM(K32:K51)</f>
        <v>1269.9544242380821</v>
      </c>
    </row>
    <row r="53" spans="1:17" ht="15" customHeight="1" x14ac:dyDescent="0.2">
      <c r="I53" s="33"/>
    </row>
    <row r="54" spans="1:17" ht="15" customHeight="1" x14ac:dyDescent="0.2">
      <c r="A54" s="359" t="s">
        <v>442</v>
      </c>
      <c r="B54" s="359" t="s">
        <v>443</v>
      </c>
      <c r="C54" s="367" t="s">
        <v>444</v>
      </c>
      <c r="D54" s="368"/>
      <c r="E54" s="359" t="s">
        <v>445</v>
      </c>
      <c r="F54" s="359" t="s">
        <v>446</v>
      </c>
      <c r="G54" s="359" t="s">
        <v>447</v>
      </c>
      <c r="H54" s="359" t="s">
        <v>448</v>
      </c>
      <c r="I54" s="325"/>
      <c r="J54" s="325"/>
      <c r="K54" s="325"/>
    </row>
    <row r="55" spans="1:17" ht="15" customHeight="1" x14ac:dyDescent="0.2">
      <c r="A55" s="362" t="s">
        <v>449</v>
      </c>
      <c r="B55" s="362" t="s">
        <v>450</v>
      </c>
      <c r="C55" s="369" t="s">
        <v>451</v>
      </c>
      <c r="D55" s="370"/>
      <c r="E55" s="371" t="s">
        <v>452</v>
      </c>
      <c r="F55" s="371" t="s">
        <v>453</v>
      </c>
      <c r="G55" s="371" t="s">
        <v>454</v>
      </c>
      <c r="H55" s="371" t="s">
        <v>455</v>
      </c>
      <c r="I55" s="325"/>
      <c r="J55" s="325"/>
      <c r="K55" s="325"/>
    </row>
    <row r="56" spans="1:17" ht="15" customHeight="1" x14ac:dyDescent="0.2">
      <c r="A56" s="1086" t="s">
        <v>424</v>
      </c>
      <c r="B56" s="1095" t="s">
        <v>60</v>
      </c>
      <c r="C56" s="1098" t="s">
        <v>59</v>
      </c>
      <c r="D56" s="1099"/>
      <c r="E56" s="1100"/>
      <c r="F56" s="1101"/>
      <c r="G56" s="1102" t="s">
        <v>456</v>
      </c>
      <c r="H56" s="1101"/>
      <c r="I56" s="325"/>
      <c r="J56" s="325"/>
      <c r="K56" s="325"/>
    </row>
    <row r="57" spans="1:17" ht="15" customHeight="1" x14ac:dyDescent="0.2">
      <c r="A57" s="1089" t="s">
        <v>430</v>
      </c>
      <c r="B57" s="1096" t="s">
        <v>457</v>
      </c>
      <c r="C57" s="1090" t="s">
        <v>113</v>
      </c>
      <c r="D57" s="1091"/>
      <c r="E57" s="1089" t="s">
        <v>72</v>
      </c>
      <c r="F57" s="1089" t="s">
        <v>45</v>
      </c>
      <c r="G57" s="1089" t="s">
        <v>458</v>
      </c>
      <c r="H57" s="1089" t="s">
        <v>459</v>
      </c>
      <c r="I57" s="325"/>
      <c r="J57" s="325"/>
      <c r="K57" s="325"/>
    </row>
    <row r="58" spans="1:17" ht="15" customHeight="1" x14ac:dyDescent="0.2">
      <c r="A58" s="1092" t="s">
        <v>429</v>
      </c>
      <c r="B58" s="1097" t="s">
        <v>460</v>
      </c>
      <c r="C58" s="1093" t="s">
        <v>115</v>
      </c>
      <c r="D58" s="1094"/>
      <c r="E58" s="1092" t="s">
        <v>115</v>
      </c>
      <c r="F58" s="1092" t="s">
        <v>115</v>
      </c>
      <c r="G58" s="1092" t="s">
        <v>461</v>
      </c>
      <c r="H58" s="1092" t="s">
        <v>461</v>
      </c>
    </row>
    <row r="59" spans="1:17" ht="15" customHeight="1" x14ac:dyDescent="0.2">
      <c r="A59" s="394">
        <f>B32</f>
        <v>2013</v>
      </c>
      <c r="B59" s="411">
        <f>C32</f>
        <v>153</v>
      </c>
      <c r="C59" s="390">
        <f>G32</f>
        <v>55.877994666475601</v>
      </c>
      <c r="D59" s="390"/>
      <c r="E59" s="390">
        <f>K32</f>
        <v>115.45040220346199</v>
      </c>
      <c r="F59" s="390">
        <f>C59+E59</f>
        <v>171.32839686993759</v>
      </c>
      <c r="G59" s="390">
        <f>F59-B59</f>
        <v>18.328396869937592</v>
      </c>
      <c r="H59" s="390">
        <f t="shared" ref="H59:H78" si="9">G59*(1-J$10)</f>
        <v>11.314586461340783</v>
      </c>
    </row>
    <row r="60" spans="1:17" ht="15" customHeight="1" x14ac:dyDescent="0.2">
      <c r="A60" s="395">
        <f>B33</f>
        <v>2014</v>
      </c>
      <c r="B60" s="410">
        <f>C33</f>
        <v>159</v>
      </c>
      <c r="C60" s="373">
        <f>G33</f>
        <v>51.604626431800526</v>
      </c>
      <c r="D60" s="373"/>
      <c r="E60" s="373">
        <f>K33</f>
        <v>115.45040220346199</v>
      </c>
      <c r="F60" s="373">
        <f>C60+E60</f>
        <v>167.05502863526252</v>
      </c>
      <c r="G60" s="373">
        <f t="shared" ref="G60:G78" si="10">F60-B60</f>
        <v>8.0550286352625164</v>
      </c>
      <c r="H60" s="373">
        <f t="shared" si="9"/>
        <v>4.9725744476725708</v>
      </c>
    </row>
    <row r="61" spans="1:17" ht="15" customHeight="1" x14ac:dyDescent="0.2">
      <c r="A61" s="395">
        <f t="shared" ref="A61:B76" si="11">B34</f>
        <v>2015</v>
      </c>
      <c r="B61" s="410">
        <f t="shared" si="11"/>
        <v>158</v>
      </c>
      <c r="C61" s="373">
        <f t="shared" ref="C61:C78" si="12">G34</f>
        <v>46.879229994799751</v>
      </c>
      <c r="D61" s="373"/>
      <c r="E61" s="373">
        <f t="shared" ref="E61:E78" si="13">K34</f>
        <v>115.45040220346199</v>
      </c>
      <c r="F61" s="373">
        <f t="shared" ref="F61:F78" si="14">C61+E61</f>
        <v>162.32963219826175</v>
      </c>
      <c r="G61" s="373">
        <f t="shared" si="10"/>
        <v>4.3296321982617485</v>
      </c>
      <c r="H61" s="373">
        <f t="shared" si="9"/>
        <v>2.6727922906006083</v>
      </c>
      <c r="L61" s="325"/>
      <c r="M61" s="325"/>
      <c r="N61" s="325"/>
    </row>
    <row r="62" spans="1:17" ht="15" customHeight="1" x14ac:dyDescent="0.2">
      <c r="A62" s="395">
        <f t="shared" si="11"/>
        <v>2016</v>
      </c>
      <c r="B62" s="410">
        <f t="shared" si="11"/>
        <v>155</v>
      </c>
      <c r="C62" s="373">
        <f t="shared" si="12"/>
        <v>41.989916114570946</v>
      </c>
      <c r="D62" s="373"/>
      <c r="E62" s="373">
        <f t="shared" si="13"/>
        <v>115.45040220346199</v>
      </c>
      <c r="F62" s="373">
        <f t="shared" si="14"/>
        <v>157.44031831803295</v>
      </c>
      <c r="G62" s="373">
        <f t="shared" si="10"/>
        <v>2.4403183180329506</v>
      </c>
      <c r="H62" s="373">
        <f t="shared" si="9"/>
        <v>1.5064706858168089</v>
      </c>
      <c r="L62" s="325"/>
      <c r="M62" s="325"/>
      <c r="N62" s="325"/>
    </row>
    <row r="63" spans="1:17" ht="15" customHeight="1" x14ac:dyDescent="0.2">
      <c r="A63" s="395">
        <f t="shared" si="11"/>
        <v>2017</v>
      </c>
      <c r="B63" s="410">
        <f t="shared" si="11"/>
        <v>144</v>
      </c>
      <c r="C63" s="373">
        <f t="shared" si="12"/>
        <v>37.017472423612062</v>
      </c>
      <c r="D63" s="373"/>
      <c r="E63" s="373">
        <f t="shared" si="13"/>
        <v>115.45040220346199</v>
      </c>
      <c r="F63" s="373">
        <f t="shared" si="14"/>
        <v>152.46787462707405</v>
      </c>
      <c r="G63" s="373">
        <f t="shared" si="10"/>
        <v>8.4678746270740533</v>
      </c>
      <c r="H63" s="373">
        <f t="shared" si="9"/>
        <v>5.2274347992198109</v>
      </c>
      <c r="L63" s="325"/>
      <c r="M63" s="325"/>
      <c r="N63" s="325"/>
    </row>
    <row r="64" spans="1:17" ht="15" customHeight="1" x14ac:dyDescent="0.2">
      <c r="A64" s="395">
        <f t="shared" si="11"/>
        <v>2018</v>
      </c>
      <c r="B64" s="410">
        <f t="shared" si="11"/>
        <v>144</v>
      </c>
      <c r="C64" s="373">
        <f t="shared" si="12"/>
        <v>32.310241210250993</v>
      </c>
      <c r="D64" s="373"/>
      <c r="E64" s="373">
        <f t="shared" si="13"/>
        <v>115.45040220346199</v>
      </c>
      <c r="F64" s="373">
        <f t="shared" si="14"/>
        <v>147.76064341371298</v>
      </c>
      <c r="G64" s="373">
        <f t="shared" si="10"/>
        <v>3.7606434137129838</v>
      </c>
      <c r="H64" s="373">
        <f t="shared" si="9"/>
        <v>2.3215410140162573</v>
      </c>
      <c r="L64" s="325"/>
      <c r="M64" s="325"/>
      <c r="N64" s="325"/>
    </row>
    <row r="65" spans="1:17" ht="15" customHeight="1" x14ac:dyDescent="0.2">
      <c r="A65" s="395">
        <f t="shared" si="11"/>
        <v>2019</v>
      </c>
      <c r="B65" s="410">
        <f t="shared" si="11"/>
        <v>144</v>
      </c>
      <c r="C65" s="373">
        <f t="shared" si="12"/>
        <v>27.395891823502041</v>
      </c>
      <c r="D65" s="373"/>
      <c r="E65" s="373">
        <f t="shared" si="13"/>
        <v>115.45040220346199</v>
      </c>
      <c r="F65" s="373">
        <f t="shared" si="14"/>
        <v>142.84629402696402</v>
      </c>
      <c r="G65" s="373">
        <f t="shared" si="10"/>
        <v>-1.1537059730359829</v>
      </c>
      <c r="H65" s="373">
        <f t="shared" si="9"/>
        <v>-0.71221209773625849</v>
      </c>
      <c r="L65" s="325"/>
      <c r="M65" s="325"/>
      <c r="N65" s="325"/>
    </row>
    <row r="66" spans="1:17" ht="15" customHeight="1" x14ac:dyDescent="0.2">
      <c r="A66" s="395">
        <f t="shared" si="11"/>
        <v>2020</v>
      </c>
      <c r="B66" s="410">
        <f t="shared" si="11"/>
        <v>144</v>
      </c>
      <c r="C66" s="373">
        <f t="shared" si="12"/>
        <v>22.265311063736128</v>
      </c>
      <c r="D66" s="373"/>
      <c r="E66" s="373">
        <f t="shared" si="13"/>
        <v>115.45040220346199</v>
      </c>
      <c r="F66" s="373">
        <f t="shared" si="14"/>
        <v>137.71571326719811</v>
      </c>
      <c r="G66" s="373">
        <f t="shared" si="10"/>
        <v>-6.2842867328018883</v>
      </c>
      <c r="H66" s="373">
        <f t="shared" si="9"/>
        <v>-3.8794503464058754</v>
      </c>
    </row>
    <row r="67" spans="1:17" s="31" customFormat="1" ht="15" customHeight="1" x14ac:dyDescent="0.2">
      <c r="A67" s="395">
        <f t="shared" si="11"/>
        <v>2021</v>
      </c>
      <c r="B67" s="410">
        <f t="shared" si="11"/>
        <v>144</v>
      </c>
      <c r="C67" s="373">
        <f t="shared" si="12"/>
        <v>16.908984750540519</v>
      </c>
      <c r="D67" s="373"/>
      <c r="E67" s="373">
        <f t="shared" si="13"/>
        <v>115.45040220346199</v>
      </c>
      <c r="F67" s="373">
        <f t="shared" si="14"/>
        <v>132.3593869540025</v>
      </c>
      <c r="G67" s="373">
        <f t="shared" si="10"/>
        <v>-11.640613045997497</v>
      </c>
      <c r="H67" s="373">
        <f t="shared" si="9"/>
        <v>-7.1860470780169576</v>
      </c>
      <c r="O67" s="325"/>
      <c r="P67" s="325"/>
      <c r="Q67" s="325"/>
    </row>
    <row r="68" spans="1:17" s="31" customFormat="1" ht="15" customHeight="1" x14ac:dyDescent="0.2">
      <c r="A68" s="395">
        <f t="shared" si="11"/>
        <v>2022</v>
      </c>
      <c r="B68" s="410">
        <f t="shared" si="11"/>
        <v>144</v>
      </c>
      <c r="C68" s="373">
        <f t="shared" si="12"/>
        <v>11.316980079564303</v>
      </c>
      <c r="D68" s="373"/>
      <c r="E68" s="373">
        <f t="shared" si="13"/>
        <v>115.45040220346199</v>
      </c>
      <c r="F68" s="373">
        <f t="shared" si="14"/>
        <v>126.76738228302629</v>
      </c>
      <c r="G68" s="373">
        <f t="shared" si="10"/>
        <v>-17.232617716973706</v>
      </c>
      <c r="H68" s="373">
        <f t="shared" si="9"/>
        <v>-10.638134065818923</v>
      </c>
      <c r="O68" s="325"/>
      <c r="P68" s="325"/>
      <c r="Q68" s="325"/>
    </row>
    <row r="69" spans="1:17" s="31" customFormat="1" ht="15" customHeight="1" x14ac:dyDescent="0.2">
      <c r="A69" s="395">
        <f t="shared" si="11"/>
        <v>2023</v>
      </c>
      <c r="B69" s="410">
        <f t="shared" si="11"/>
        <v>130</v>
      </c>
      <c r="C69" s="373">
        <f t="shared" si="12"/>
        <v>5.4789272030651333</v>
      </c>
      <c r="D69" s="373"/>
      <c r="E69" s="373">
        <f t="shared" si="13"/>
        <v>115.45040220346199</v>
      </c>
      <c r="F69" s="373">
        <f t="shared" si="14"/>
        <v>120.92932940652713</v>
      </c>
      <c r="G69" s="373">
        <f t="shared" si="10"/>
        <v>-9.0706705934728689</v>
      </c>
      <c r="H69" s="373">
        <f t="shared" si="9"/>
        <v>-5.5995561106888863</v>
      </c>
      <c r="O69" s="325"/>
      <c r="P69" s="325"/>
      <c r="Q69" s="325"/>
    </row>
    <row r="70" spans="1:17" s="31" customFormat="1" ht="15" customHeight="1" x14ac:dyDescent="0.2">
      <c r="A70" s="395">
        <f t="shared" si="11"/>
        <v>2024</v>
      </c>
      <c r="B70" s="410">
        <f t="shared" si="11"/>
        <v>0</v>
      </c>
      <c r="C70" s="373">
        <f t="shared" si="12"/>
        <v>0</v>
      </c>
      <c r="D70" s="373"/>
      <c r="E70" s="373">
        <f t="shared" si="13"/>
        <v>0</v>
      </c>
      <c r="F70" s="373">
        <f t="shared" si="14"/>
        <v>0</v>
      </c>
      <c r="G70" s="373">
        <f t="shared" si="10"/>
        <v>0</v>
      </c>
      <c r="H70" s="373">
        <f t="shared" si="9"/>
        <v>0</v>
      </c>
      <c r="O70" s="325"/>
      <c r="P70" s="325"/>
      <c r="Q70" s="325"/>
    </row>
    <row r="71" spans="1:17" s="31" customFormat="1" ht="15" customHeight="1" x14ac:dyDescent="0.2">
      <c r="A71" s="395">
        <f t="shared" si="11"/>
        <v>2025</v>
      </c>
      <c r="B71" s="410">
        <f t="shared" si="11"/>
        <v>0</v>
      </c>
      <c r="C71" s="373">
        <f t="shared" si="12"/>
        <v>0</v>
      </c>
      <c r="D71" s="373"/>
      <c r="E71" s="373">
        <f t="shared" si="13"/>
        <v>0</v>
      </c>
      <c r="F71" s="373">
        <f t="shared" si="14"/>
        <v>0</v>
      </c>
      <c r="G71" s="373">
        <f t="shared" si="10"/>
        <v>0</v>
      </c>
      <c r="H71" s="373">
        <f t="shared" si="9"/>
        <v>0</v>
      </c>
      <c r="O71" s="325"/>
      <c r="P71" s="325"/>
      <c r="Q71" s="325"/>
    </row>
    <row r="72" spans="1:17" s="31" customFormat="1" ht="15" customHeight="1" x14ac:dyDescent="0.2">
      <c r="A72" s="395">
        <f t="shared" si="11"/>
        <v>2026</v>
      </c>
      <c r="B72" s="410">
        <f t="shared" si="11"/>
        <v>0</v>
      </c>
      <c r="C72" s="373">
        <f t="shared" si="12"/>
        <v>0</v>
      </c>
      <c r="D72" s="373"/>
      <c r="E72" s="373">
        <f t="shared" si="13"/>
        <v>0</v>
      </c>
      <c r="F72" s="373">
        <f t="shared" si="14"/>
        <v>0</v>
      </c>
      <c r="G72" s="373">
        <f t="shared" si="10"/>
        <v>0</v>
      </c>
      <c r="H72" s="373">
        <f t="shared" si="9"/>
        <v>0</v>
      </c>
      <c r="O72" s="325"/>
      <c r="P72" s="325"/>
      <c r="Q72" s="325"/>
    </row>
    <row r="73" spans="1:17" s="31" customFormat="1" ht="15" customHeight="1" x14ac:dyDescent="0.2">
      <c r="A73" s="395">
        <f t="shared" si="11"/>
        <v>2027</v>
      </c>
      <c r="B73" s="410">
        <f t="shared" si="11"/>
        <v>0</v>
      </c>
      <c r="C73" s="373">
        <f t="shared" si="12"/>
        <v>0</v>
      </c>
      <c r="D73" s="373"/>
      <c r="E73" s="373">
        <f t="shared" si="13"/>
        <v>0</v>
      </c>
      <c r="F73" s="373">
        <f t="shared" si="14"/>
        <v>0</v>
      </c>
      <c r="G73" s="373">
        <f t="shared" si="10"/>
        <v>0</v>
      </c>
      <c r="H73" s="373">
        <f t="shared" si="9"/>
        <v>0</v>
      </c>
      <c r="O73" s="325"/>
      <c r="P73" s="325"/>
      <c r="Q73" s="325"/>
    </row>
    <row r="74" spans="1:17" s="31" customFormat="1" ht="15" customHeight="1" x14ac:dyDescent="0.2">
      <c r="A74" s="395">
        <f t="shared" si="11"/>
        <v>2028</v>
      </c>
      <c r="B74" s="410">
        <f t="shared" si="11"/>
        <v>0</v>
      </c>
      <c r="C74" s="373">
        <f t="shared" si="12"/>
        <v>0</v>
      </c>
      <c r="D74" s="373"/>
      <c r="E74" s="373">
        <f t="shared" si="13"/>
        <v>0</v>
      </c>
      <c r="F74" s="373">
        <f t="shared" si="14"/>
        <v>0</v>
      </c>
      <c r="G74" s="373">
        <f t="shared" si="10"/>
        <v>0</v>
      </c>
      <c r="H74" s="373">
        <f t="shared" si="9"/>
        <v>0</v>
      </c>
      <c r="O74" s="325"/>
      <c r="P74" s="325"/>
      <c r="Q74" s="325"/>
    </row>
    <row r="75" spans="1:17" s="31" customFormat="1" ht="15" customHeight="1" x14ac:dyDescent="0.2">
      <c r="A75" s="395">
        <f t="shared" si="11"/>
        <v>2029</v>
      </c>
      <c r="B75" s="410">
        <f t="shared" si="11"/>
        <v>0</v>
      </c>
      <c r="C75" s="373">
        <f t="shared" si="12"/>
        <v>0</v>
      </c>
      <c r="D75" s="373"/>
      <c r="E75" s="373">
        <f t="shared" si="13"/>
        <v>0</v>
      </c>
      <c r="F75" s="373">
        <f t="shared" si="14"/>
        <v>0</v>
      </c>
      <c r="G75" s="373">
        <f t="shared" si="10"/>
        <v>0</v>
      </c>
      <c r="H75" s="373">
        <f t="shared" si="9"/>
        <v>0</v>
      </c>
      <c r="O75" s="325"/>
      <c r="P75" s="325"/>
      <c r="Q75" s="325"/>
    </row>
    <row r="76" spans="1:17" s="31" customFormat="1" ht="15" customHeight="1" x14ac:dyDescent="0.2">
      <c r="A76" s="395">
        <f t="shared" si="11"/>
        <v>2030</v>
      </c>
      <c r="B76" s="410">
        <f t="shared" si="11"/>
        <v>0</v>
      </c>
      <c r="C76" s="373">
        <f t="shared" si="12"/>
        <v>0</v>
      </c>
      <c r="D76" s="373"/>
      <c r="E76" s="373">
        <f t="shared" si="13"/>
        <v>0</v>
      </c>
      <c r="F76" s="373">
        <f t="shared" si="14"/>
        <v>0</v>
      </c>
      <c r="G76" s="373">
        <f t="shared" si="10"/>
        <v>0</v>
      </c>
      <c r="H76" s="373">
        <f t="shared" si="9"/>
        <v>0</v>
      </c>
      <c r="O76" s="325"/>
      <c r="P76" s="325"/>
      <c r="Q76" s="325"/>
    </row>
    <row r="77" spans="1:17" s="31" customFormat="1" ht="15" customHeight="1" x14ac:dyDescent="0.2">
      <c r="A77" s="395">
        <f>B50</f>
        <v>2031</v>
      </c>
      <c r="B77" s="410">
        <f>C50</f>
        <v>0</v>
      </c>
      <c r="C77" s="373">
        <f t="shared" si="12"/>
        <v>0</v>
      </c>
      <c r="D77" s="373"/>
      <c r="E77" s="373">
        <f t="shared" si="13"/>
        <v>0</v>
      </c>
      <c r="F77" s="373">
        <f t="shared" si="14"/>
        <v>0</v>
      </c>
      <c r="G77" s="373">
        <f t="shared" si="10"/>
        <v>0</v>
      </c>
      <c r="H77" s="373">
        <f t="shared" si="9"/>
        <v>0</v>
      </c>
      <c r="O77" s="325"/>
      <c r="P77" s="325"/>
      <c r="Q77" s="325"/>
    </row>
    <row r="78" spans="1:17" s="31" customFormat="1" ht="15" customHeight="1" x14ac:dyDescent="0.2">
      <c r="A78" s="395">
        <f>B51</f>
        <v>2032</v>
      </c>
      <c r="B78" s="410">
        <f>C51</f>
        <v>0</v>
      </c>
      <c r="C78" s="373">
        <f t="shared" si="12"/>
        <v>0</v>
      </c>
      <c r="D78" s="373"/>
      <c r="E78" s="373">
        <f t="shared" si="13"/>
        <v>0</v>
      </c>
      <c r="F78" s="373">
        <f t="shared" si="14"/>
        <v>0</v>
      </c>
      <c r="G78" s="373">
        <f t="shared" si="10"/>
        <v>0</v>
      </c>
      <c r="H78" s="373">
        <f t="shared" si="9"/>
        <v>0</v>
      </c>
      <c r="O78" s="325"/>
      <c r="P78" s="325"/>
      <c r="Q78" s="325"/>
    </row>
    <row r="79" spans="1:17" s="31" customFormat="1" ht="15" customHeight="1" thickBot="1" x14ac:dyDescent="0.25">
      <c r="A79" s="372" t="s">
        <v>441</v>
      </c>
      <c r="B79" s="412">
        <f>SUM(B59:B78)</f>
        <v>1619</v>
      </c>
      <c r="C79" s="412">
        <f>SUM(C59:C78)</f>
        <v>349.04557576191803</v>
      </c>
      <c r="D79" s="412"/>
      <c r="E79" s="412">
        <f>SUM(E59:E78)</f>
        <v>1269.9544242380821</v>
      </c>
      <c r="F79" s="412">
        <f>SUM(F59:F78)</f>
        <v>1618.9999999999998</v>
      </c>
      <c r="G79" s="412">
        <f>SUM(G59:G78)</f>
        <v>-9.9475983006414026E-14</v>
      </c>
      <c r="H79" s="412">
        <f>SUM(H59:H78)</f>
        <v>-6.4837024638109142E-14</v>
      </c>
      <c r="O79" s="325"/>
      <c r="P79" s="325"/>
      <c r="Q79" s="325"/>
    </row>
    <row r="80" spans="1:17" s="31" customFormat="1" ht="15" customHeight="1" x14ac:dyDescent="0.2">
      <c r="O80" s="325"/>
      <c r="P80" s="325"/>
      <c r="Q80" s="325"/>
    </row>
    <row r="81" spans="1:17" s="31" customFormat="1" ht="15" customHeight="1" x14ac:dyDescent="0.2">
      <c r="A81" s="1103" t="s">
        <v>469</v>
      </c>
      <c r="B81" s="1112"/>
      <c r="C81" s="1112"/>
      <c r="D81" s="1112"/>
      <c r="E81" s="1105">
        <f>C10</f>
        <v>2012</v>
      </c>
      <c r="F81" s="1112"/>
      <c r="G81" s="1106" t="s">
        <v>117</v>
      </c>
      <c r="H81" s="1106" t="s">
        <v>118</v>
      </c>
      <c r="I81" s="110"/>
      <c r="O81" s="325"/>
      <c r="P81" s="325"/>
      <c r="Q81" s="325"/>
    </row>
    <row r="82" spans="1:17" s="31" customFormat="1" ht="15" customHeight="1" x14ac:dyDescent="0.2">
      <c r="A82" s="325" t="s">
        <v>470</v>
      </c>
      <c r="B82" s="110"/>
      <c r="C82" s="110"/>
      <c r="D82" s="110"/>
      <c r="E82" s="110"/>
      <c r="F82" s="110"/>
      <c r="G82" s="381">
        <f>ROUND(J31,0)</f>
        <v>1270</v>
      </c>
      <c r="H82" s="381"/>
      <c r="I82" s="110"/>
      <c r="O82" s="325"/>
      <c r="P82" s="325"/>
      <c r="Q82" s="325"/>
    </row>
    <row r="83" spans="1:17" s="31" customFormat="1" ht="15" customHeight="1" x14ac:dyDescent="0.2">
      <c r="A83" s="325" t="s">
        <v>471</v>
      </c>
      <c r="B83" s="110"/>
      <c r="C83" s="110"/>
      <c r="D83" s="110"/>
      <c r="E83" s="110"/>
      <c r="F83" s="110"/>
      <c r="G83" s="381"/>
      <c r="H83" s="381">
        <f>ROUND(H32,0)</f>
        <v>97</v>
      </c>
      <c r="I83" s="110"/>
      <c r="O83" s="325"/>
      <c r="P83" s="325"/>
      <c r="Q83" s="325"/>
    </row>
    <row r="84" spans="1:17" s="31" customFormat="1" ht="15" customHeight="1" x14ac:dyDescent="0.2">
      <c r="A84" s="325" t="s">
        <v>472</v>
      </c>
      <c r="B84" s="110"/>
      <c r="C84" s="110"/>
      <c r="D84" s="110"/>
      <c r="E84" s="110"/>
      <c r="F84" s="110"/>
      <c r="G84" s="408"/>
      <c r="H84" s="75">
        <f>ROUND(I31,0)-ROUND(H32,0)</f>
        <v>1173</v>
      </c>
      <c r="I84" s="110"/>
      <c r="O84" s="325"/>
      <c r="P84" s="325"/>
      <c r="Q84" s="325"/>
    </row>
    <row r="85" spans="1:17" s="31" customFormat="1" ht="15" customHeight="1" thickBot="1" x14ac:dyDescent="0.25">
      <c r="A85" s="1107" t="s">
        <v>468</v>
      </c>
      <c r="B85" s="1104"/>
      <c r="C85" s="1104"/>
      <c r="D85" s="1104"/>
      <c r="E85" s="1104"/>
      <c r="F85" s="1104"/>
      <c r="G85" s="1108">
        <f>SUM(G82:G84)</f>
        <v>1270</v>
      </c>
      <c r="H85" s="1108">
        <f>SUM(H82:H84)</f>
        <v>1270</v>
      </c>
      <c r="I85" s="110"/>
      <c r="O85" s="325"/>
      <c r="P85" s="325"/>
      <c r="Q85" s="325"/>
    </row>
    <row r="90" spans="1:17" s="31" customFormat="1" ht="16.5" customHeight="1" x14ac:dyDescent="0.2">
      <c r="B90" s="110"/>
      <c r="C90" s="110"/>
      <c r="D90" s="110"/>
      <c r="E90" s="110"/>
      <c r="F90" s="110"/>
      <c r="G90" s="111"/>
      <c r="H90" s="111"/>
      <c r="I90" s="110"/>
      <c r="O90" s="325"/>
      <c r="P90" s="325"/>
      <c r="Q90" s="325"/>
    </row>
    <row r="93" spans="1:17" s="31" customFormat="1" ht="16.5" customHeight="1" x14ac:dyDescent="0.2">
      <c r="A93" s="1103" t="s">
        <v>473</v>
      </c>
      <c r="B93" s="1104"/>
      <c r="C93" s="1104"/>
      <c r="D93" s="1104"/>
      <c r="E93" s="1105">
        <f>J7</f>
        <v>2013</v>
      </c>
      <c r="F93" s="1104"/>
      <c r="G93" s="1106" t="s">
        <v>117</v>
      </c>
      <c r="H93" s="1106" t="s">
        <v>118</v>
      </c>
      <c r="I93" s="1106" t="s">
        <v>462</v>
      </c>
      <c r="O93" s="325"/>
      <c r="P93" s="325"/>
      <c r="Q93" s="325"/>
    </row>
    <row r="94" spans="1:17" s="31" customFormat="1" ht="16.5" customHeight="1" x14ac:dyDescent="0.2">
      <c r="A94" s="325" t="s">
        <v>559</v>
      </c>
      <c r="B94" s="110"/>
      <c r="C94" s="110"/>
      <c r="D94" s="110"/>
      <c r="E94" s="110"/>
      <c r="F94" s="110"/>
      <c r="G94" s="120">
        <f>ROUND(C59,0)</f>
        <v>56</v>
      </c>
      <c r="I94" s="1109">
        <f>-G94</f>
        <v>-56</v>
      </c>
      <c r="O94" s="325"/>
      <c r="P94" s="325"/>
      <c r="Q94" s="325"/>
    </row>
    <row r="95" spans="1:17" s="31" customFormat="1" ht="16.5" customHeight="1" x14ac:dyDescent="0.2">
      <c r="A95" s="325" t="s">
        <v>476</v>
      </c>
      <c r="B95" s="110"/>
      <c r="C95" s="110"/>
      <c r="D95" s="110"/>
      <c r="E95" s="110"/>
      <c r="F95" s="110"/>
      <c r="G95" s="31">
        <f>ROUND(E59,0)</f>
        <v>115</v>
      </c>
      <c r="I95" s="1110">
        <f>-G95</f>
        <v>-115</v>
      </c>
      <c r="O95" s="325"/>
      <c r="P95" s="325"/>
      <c r="Q95" s="325"/>
    </row>
    <row r="96" spans="1:17" s="31" customFormat="1" ht="16.5" customHeight="1" x14ac:dyDescent="0.2">
      <c r="A96" s="325" t="s">
        <v>1017</v>
      </c>
      <c r="B96" s="110"/>
      <c r="C96" s="110"/>
      <c r="D96" s="110"/>
      <c r="E96" s="110"/>
      <c r="F96" s="110"/>
      <c r="G96" s="31" t="str">
        <f>IF(G94+G95-H97&lt;0,-(-ROUND(B59,0)+ROUND(C59,0)+ROUND(E59,0)-(ROUND(G59,0)-ROUND(H59,0)))," ")</f>
        <v xml:space="preserve"> </v>
      </c>
      <c r="H96" s="31">
        <f>IF(G94+G95-H97&gt;0,-ROUND(B59,0)+ROUND(C59,0)+ROUND(E59,0)-(ROUND(G59,0)-ROUND(H59,0))," ")</f>
        <v>11</v>
      </c>
      <c r="I96" s="1111" t="s">
        <v>119</v>
      </c>
      <c r="O96" s="325"/>
      <c r="P96" s="325"/>
      <c r="Q96" s="325"/>
    </row>
    <row r="97" spans="1:17" s="31" customFormat="1" ht="16.5" customHeight="1" x14ac:dyDescent="0.2">
      <c r="A97" s="325" t="s">
        <v>477</v>
      </c>
      <c r="B97" s="110"/>
      <c r="C97" s="110"/>
      <c r="D97" s="110"/>
      <c r="E97" s="110"/>
      <c r="F97" s="110"/>
      <c r="H97" s="31">
        <f>ROUND(B59,0)</f>
        <v>153</v>
      </c>
      <c r="I97" s="1110">
        <f>H97</f>
        <v>153</v>
      </c>
      <c r="O97" s="325"/>
      <c r="P97" s="325"/>
      <c r="Q97" s="325"/>
    </row>
    <row r="98" spans="1:17" s="31" customFormat="1" ht="16.5" customHeight="1" x14ac:dyDescent="0.2">
      <c r="A98" s="325" t="s">
        <v>1018</v>
      </c>
      <c r="B98" s="110"/>
      <c r="C98" s="110"/>
      <c r="D98" s="110"/>
      <c r="E98" s="110"/>
      <c r="F98" s="110"/>
      <c r="G98" s="31">
        <f>IF(G94+G95-H97&lt;0,-(ROUND(G59,0)-ROUND(H59,0)),0)</f>
        <v>0</v>
      </c>
      <c r="H98" s="31">
        <f>IF(G94+G95-H97&gt;0,ROUND(G59,0)-ROUND(H59,0),0)</f>
        <v>7</v>
      </c>
      <c r="I98" s="1110">
        <f>IF(G98=" ",H98,-G98)</f>
        <v>0</v>
      </c>
      <c r="O98" s="325"/>
      <c r="P98" s="325"/>
      <c r="Q98" s="325"/>
    </row>
    <row r="99" spans="1:17" ht="16.5" customHeight="1" thickBot="1" x14ac:dyDescent="0.25">
      <c r="A99" s="1107" t="s">
        <v>468</v>
      </c>
      <c r="B99" s="1104"/>
      <c r="C99" s="1104"/>
      <c r="D99" s="1104"/>
      <c r="E99" s="1104"/>
      <c r="F99" s="1104"/>
      <c r="G99" s="1108">
        <f>SUM(G94:G98)</f>
        <v>171</v>
      </c>
      <c r="H99" s="1108">
        <f>SUM(H94:H98)</f>
        <v>171</v>
      </c>
      <c r="I99" s="1108">
        <f>SUM(I94:I98)</f>
        <v>-18</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drawing r:id="rId2"/>
  <legacyDrawing r:id="rId3"/>
  <extLst>
    <ext xmlns:mx="http://schemas.microsoft.com/office/mac/excel/2008/main" uri="http://schemas.microsoft.com/office/mac/excel/2008/main">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A46D00"/>
  </sheetPr>
  <dimension ref="A1:Z107"/>
  <sheetViews>
    <sheetView view="pageBreakPreview" zoomScaleSheetLayoutView="100" workbookViewId="0">
      <selection activeCell="J12" sqref="J12"/>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26" s="575" customFormat="1" ht="15" customHeight="1" x14ac:dyDescent="0.2">
      <c r="A1" s="572" t="s">
        <v>363</v>
      </c>
      <c r="B1" s="572"/>
      <c r="C1" s="572"/>
      <c r="D1" s="573"/>
      <c r="E1" s="573"/>
      <c r="F1" s="574"/>
      <c r="G1" s="574"/>
      <c r="H1" s="574"/>
      <c r="I1" s="574"/>
      <c r="J1" s="574"/>
      <c r="K1" s="574"/>
      <c r="L1" s="574" t="s">
        <v>1075</v>
      </c>
      <c r="M1" s="574" t="s">
        <v>1075</v>
      </c>
      <c r="N1" s="574" t="s">
        <v>1075</v>
      </c>
      <c r="O1" s="574" t="s">
        <v>1075</v>
      </c>
      <c r="P1" s="574" t="s">
        <v>1075</v>
      </c>
      <c r="Q1" s="574" t="s">
        <v>1075</v>
      </c>
      <c r="R1" s="574" t="s">
        <v>1075</v>
      </c>
      <c r="S1" s="574" t="s">
        <v>1075</v>
      </c>
      <c r="T1" s="574" t="s">
        <v>1075</v>
      </c>
      <c r="U1" s="574" t="s">
        <v>1075</v>
      </c>
      <c r="V1" s="574" t="s">
        <v>1075</v>
      </c>
      <c r="W1" s="574" t="s">
        <v>1075</v>
      </c>
      <c r="X1" s="574" t="s">
        <v>1075</v>
      </c>
      <c r="Y1" s="574" t="s">
        <v>1075</v>
      </c>
      <c r="Z1" s="574" t="s">
        <v>1075</v>
      </c>
    </row>
    <row r="2" spans="1:26" ht="15" customHeight="1" x14ac:dyDescent="0.2">
      <c r="A2" s="392"/>
      <c r="B2" s="347"/>
      <c r="C2" s="347"/>
      <c r="D2" s="348"/>
      <c r="E2" s="348"/>
      <c r="J2" s="39"/>
    </row>
    <row r="3" spans="1:26" ht="15" customHeight="1" x14ac:dyDescent="0.2">
      <c r="A3" s="392"/>
      <c r="B3" s="347"/>
      <c r="C3" s="347"/>
      <c r="D3" s="348"/>
      <c r="E3" s="348"/>
      <c r="J3" s="39"/>
    </row>
    <row r="4" spans="1:26" ht="15" customHeight="1" x14ac:dyDescent="0.2">
      <c r="A4" s="347"/>
      <c r="B4" s="347"/>
      <c r="C4" s="347"/>
      <c r="D4" s="348"/>
      <c r="E4" s="348"/>
      <c r="J4" s="39"/>
    </row>
    <row r="5" spans="1:26" ht="15" customHeight="1" x14ac:dyDescent="0.2">
      <c r="A5" s="347"/>
      <c r="B5" s="347"/>
      <c r="C5" s="347"/>
      <c r="D5" s="348"/>
      <c r="E5" s="348"/>
      <c r="J5" s="39"/>
    </row>
    <row r="6" spans="1:26" ht="15" customHeight="1" x14ac:dyDescent="0.2">
      <c r="J6" s="39"/>
      <c r="L6" s="325"/>
      <c r="M6" s="325"/>
      <c r="N6" s="325"/>
    </row>
    <row r="7" spans="1:26" ht="15" customHeight="1" x14ac:dyDescent="0.2">
      <c r="A7" s="543" t="s">
        <v>611</v>
      </c>
      <c r="G7" s="31" t="s">
        <v>304</v>
      </c>
      <c r="J7" s="380">
        <f>C10+1</f>
        <v>2014</v>
      </c>
      <c r="L7" s="325"/>
      <c r="M7" s="325"/>
      <c r="N7" s="325"/>
    </row>
    <row r="8" spans="1:26" ht="15" customHeight="1" x14ac:dyDescent="0.2">
      <c r="G8" s="31" t="s">
        <v>33</v>
      </c>
      <c r="J8" s="381">
        <f>'IS Analysis Adjustments'!AF26</f>
        <v>1185</v>
      </c>
      <c r="L8" s="325"/>
      <c r="M8" s="325"/>
      <c r="N8" s="325"/>
    </row>
    <row r="9" spans="1:26" ht="15" customHeight="1" x14ac:dyDescent="0.2">
      <c r="C9" s="39"/>
      <c r="D9" s="36"/>
      <c r="E9" s="36"/>
      <c r="F9" s="39"/>
      <c r="G9" s="31" t="s">
        <v>1070</v>
      </c>
      <c r="J9" s="381">
        <f>'IS Analysis Adjustments'!AF27</f>
        <v>465</v>
      </c>
      <c r="L9" s="325"/>
      <c r="M9" s="325"/>
      <c r="N9" s="325"/>
    </row>
    <row r="10" spans="1:26" ht="15" customHeight="1" x14ac:dyDescent="0.2">
      <c r="A10" s="31" t="s">
        <v>463</v>
      </c>
      <c r="B10" s="39"/>
      <c r="C10" s="576">
        <f>'IS Analysis Adjustments'!V1</f>
        <v>2013</v>
      </c>
      <c r="G10" s="39" t="s">
        <v>337</v>
      </c>
      <c r="H10" s="39"/>
      <c r="I10" s="39"/>
      <c r="J10" s="44">
        <f>J9/J8</f>
        <v>0.39240506329113922</v>
      </c>
      <c r="L10" s="325"/>
      <c r="M10" s="325"/>
      <c r="N10" s="325"/>
    </row>
    <row r="11" spans="1:26" ht="15" customHeight="1" x14ac:dyDescent="0.2">
      <c r="C11" s="36"/>
      <c r="D11" s="36"/>
      <c r="E11" s="36"/>
      <c r="F11" s="36"/>
      <c r="G11" s="39" t="s">
        <v>305</v>
      </c>
      <c r="H11" s="39"/>
      <c r="I11" s="39"/>
      <c r="J11" s="379">
        <v>4.3999999999999997E-2</v>
      </c>
      <c r="L11" s="325"/>
      <c r="M11" s="325"/>
      <c r="N11" s="325"/>
    </row>
    <row r="12" spans="1:26" ht="15" customHeight="1" x14ac:dyDescent="0.2">
      <c r="B12" s="347"/>
      <c r="C12" s="378" t="s">
        <v>306</v>
      </c>
      <c r="D12" s="378"/>
      <c r="E12" s="378"/>
      <c r="F12" s="378"/>
    </row>
    <row r="13" spans="1:26" ht="15" customHeight="1" x14ac:dyDescent="0.2">
      <c r="B13" s="351" t="s">
        <v>63</v>
      </c>
      <c r="C13" s="350" t="s">
        <v>110</v>
      </c>
      <c r="D13" s="350"/>
      <c r="E13" s="383" t="s">
        <v>307</v>
      </c>
      <c r="F13" s="383" t="s">
        <v>45</v>
      </c>
      <c r="I13" s="216"/>
    </row>
    <row r="14" spans="1:26" ht="15" customHeight="1" x14ac:dyDescent="0.2">
      <c r="A14" s="352">
        <v>1</v>
      </c>
      <c r="B14" s="382">
        <f>C10+1</f>
        <v>2014</v>
      </c>
      <c r="C14" s="1251">
        <v>177</v>
      </c>
      <c r="D14" s="66"/>
      <c r="E14" s="384" t="s">
        <v>464</v>
      </c>
      <c r="F14" s="384" t="s">
        <v>464</v>
      </c>
    </row>
    <row r="15" spans="1:26" ht="15" customHeight="1" x14ac:dyDescent="0.2">
      <c r="A15" s="352">
        <v>2</v>
      </c>
      <c r="B15" s="382">
        <f>B14+1</f>
        <v>2015</v>
      </c>
      <c r="C15" s="1252">
        <v>193</v>
      </c>
      <c r="D15" s="32"/>
      <c r="E15" s="270"/>
      <c r="F15" s="270"/>
    </row>
    <row r="16" spans="1:26" ht="15" customHeight="1" x14ac:dyDescent="0.2">
      <c r="A16" s="352">
        <v>3</v>
      </c>
      <c r="B16" s="382">
        <f>B15+1</f>
        <v>2016</v>
      </c>
      <c r="C16" s="1252">
        <v>196</v>
      </c>
      <c r="D16" s="32"/>
      <c r="E16" s="270"/>
      <c r="F16" s="270"/>
    </row>
    <row r="17" spans="1:14" ht="15" customHeight="1" x14ac:dyDescent="0.2">
      <c r="A17" s="352">
        <v>4</v>
      </c>
      <c r="B17" s="382">
        <f>B16+1</f>
        <v>2017</v>
      </c>
      <c r="C17" s="1252">
        <v>189</v>
      </c>
      <c r="D17" s="32"/>
      <c r="E17" s="270"/>
      <c r="F17" s="270"/>
    </row>
    <row r="18" spans="1:14" ht="15" customHeight="1" x14ac:dyDescent="0.2">
      <c r="A18" s="352">
        <v>5</v>
      </c>
      <c r="B18" s="382">
        <f>B17+1</f>
        <v>2018</v>
      </c>
      <c r="C18" s="1252">
        <v>186</v>
      </c>
      <c r="D18" s="353" t="s">
        <v>156</v>
      </c>
      <c r="E18" s="270"/>
      <c r="F18" s="270"/>
    </row>
    <row r="19" spans="1:14" ht="15" customHeight="1" x14ac:dyDescent="0.2">
      <c r="A19" s="354"/>
      <c r="B19" s="355" t="s">
        <v>112</v>
      </c>
      <c r="C19" s="1253">
        <v>1054</v>
      </c>
      <c r="D19" s="356" t="s">
        <v>155</v>
      </c>
      <c r="E19" s="270"/>
      <c r="F19" s="270"/>
    </row>
    <row r="20" spans="1:14" ht="15" customHeight="1" thickBot="1" x14ac:dyDescent="0.25">
      <c r="B20" s="352" t="s">
        <v>45</v>
      </c>
      <c r="C20" s="237">
        <f>SUM(C14:C19)</f>
        <v>1995</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6</v>
      </c>
    </row>
    <row r="23" spans="1:14" ht="15" customHeight="1" x14ac:dyDescent="0.2">
      <c r="A23" s="112" t="s">
        <v>466</v>
      </c>
      <c r="F23" s="358">
        <f>IF(A18+F22&gt;20,20,A18+F22)</f>
        <v>11</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s="346" customFormat="1" ht="15" customHeight="1" x14ac:dyDescent="0.2">
      <c r="A28" s="1086" t="s">
        <v>423</v>
      </c>
      <c r="B28" s="1086" t="s">
        <v>424</v>
      </c>
      <c r="C28" s="1086"/>
      <c r="D28" s="1087"/>
      <c r="E28" s="1088"/>
      <c r="F28" s="1086" t="s">
        <v>425</v>
      </c>
      <c r="G28" s="1086"/>
      <c r="H28" s="1086" t="s">
        <v>426</v>
      </c>
      <c r="I28" s="1086"/>
      <c r="J28" s="1086" t="s">
        <v>427</v>
      </c>
      <c r="K28" s="1086" t="s">
        <v>428</v>
      </c>
    </row>
    <row r="29" spans="1:14" s="346" customFormat="1" ht="15" customHeight="1" x14ac:dyDescent="0.2">
      <c r="A29" s="1089" t="s">
        <v>429</v>
      </c>
      <c r="B29" s="1089" t="s">
        <v>430</v>
      </c>
      <c r="C29" s="1089"/>
      <c r="D29" s="1090"/>
      <c r="E29" s="1091"/>
      <c r="F29" s="1089" t="s">
        <v>431</v>
      </c>
      <c r="G29" s="1089" t="s">
        <v>432</v>
      </c>
      <c r="H29" s="1089" t="s">
        <v>433</v>
      </c>
      <c r="I29" s="1089" t="s">
        <v>114</v>
      </c>
      <c r="J29" s="1089" t="s">
        <v>434</v>
      </c>
      <c r="K29" s="1089" t="s">
        <v>435</v>
      </c>
    </row>
    <row r="30" spans="1:14" s="346" customFormat="1"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row>
    <row r="31" spans="1:14" ht="15" customHeight="1" x14ac:dyDescent="0.2">
      <c r="A31" s="130">
        <v>0</v>
      </c>
      <c r="B31" s="386">
        <f>C10</f>
        <v>2013</v>
      </c>
      <c r="C31" s="111"/>
      <c r="D31" s="33"/>
      <c r="F31" s="33"/>
      <c r="G31" s="33"/>
      <c r="H31" s="365"/>
      <c r="I31" s="393">
        <f>F52</f>
        <v>1565.3615699545155</v>
      </c>
      <c r="J31" s="393">
        <f>I31</f>
        <v>1565.3615699545155</v>
      </c>
      <c r="K31" s="365"/>
      <c r="L31" s="325"/>
      <c r="M31" s="325"/>
      <c r="N31" s="325"/>
    </row>
    <row r="32" spans="1:14" ht="15" customHeight="1" x14ac:dyDescent="0.2">
      <c r="A32" s="1152">
        <v>1</v>
      </c>
      <c r="B32" s="855">
        <f t="shared" ref="B32:C36" si="0">B14</f>
        <v>2014</v>
      </c>
      <c r="C32" s="1151">
        <f t="shared" si="0"/>
        <v>177</v>
      </c>
      <c r="D32" s="365"/>
      <c r="E32" s="366">
        <f t="shared" ref="E32:E51" si="1">1/(1+J$11)^A32</f>
        <v>0.95785440613026818</v>
      </c>
      <c r="F32" s="388">
        <f>C32*E32</f>
        <v>169.54022988505747</v>
      </c>
      <c r="G32" s="389">
        <f>I31*J$11</f>
        <v>68.875909077998685</v>
      </c>
      <c r="H32" s="390">
        <f>C32-G32</f>
        <v>108.12409092200132</v>
      </c>
      <c r="I32" s="347">
        <f>I31-H32</f>
        <v>1457.2374790325141</v>
      </c>
      <c r="J32" s="365">
        <f>J31-K32</f>
        <v>1423.0559726859233</v>
      </c>
      <c r="K32" s="391">
        <f>IF(A32&gt;F$23,0,I$31/F$23)</f>
        <v>142.30559726859232</v>
      </c>
      <c r="L32" s="365"/>
      <c r="M32" s="365"/>
      <c r="N32" s="365"/>
    </row>
    <row r="33" spans="1:17" ht="15" customHeight="1" x14ac:dyDescent="0.2">
      <c r="A33" s="93">
        <v>2</v>
      </c>
      <c r="B33" s="855">
        <f t="shared" si="0"/>
        <v>2015</v>
      </c>
      <c r="C33" s="32">
        <f t="shared" si="0"/>
        <v>193</v>
      </c>
      <c r="E33" s="366">
        <f t="shared" si="1"/>
        <v>0.91748506334316871</v>
      </c>
      <c r="F33" s="365">
        <f>C33*E33</f>
        <v>177.07461722523155</v>
      </c>
      <c r="G33" s="372">
        <f>I32*J$11</f>
        <v>64.118449077430611</v>
      </c>
      <c r="H33" s="373">
        <f>C33-G33</f>
        <v>128.88155092256937</v>
      </c>
      <c r="I33" s="373">
        <f>I32-H33</f>
        <v>1328.3559281099447</v>
      </c>
      <c r="J33" s="365">
        <f t="shared" ref="J33:J51" si="2">J32-K33</f>
        <v>1280.750375417331</v>
      </c>
      <c r="K33" s="373">
        <f>IF(A33&gt;F$23,0,I$31/F$23)</f>
        <v>142.30559726859232</v>
      </c>
    </row>
    <row r="34" spans="1:17" ht="15" customHeight="1" x14ac:dyDescent="0.2">
      <c r="A34" s="93">
        <v>3</v>
      </c>
      <c r="B34" s="855">
        <f t="shared" si="0"/>
        <v>2016</v>
      </c>
      <c r="C34" s="32">
        <f t="shared" si="0"/>
        <v>196</v>
      </c>
      <c r="E34" s="366">
        <f t="shared" si="1"/>
        <v>0.87881711048196232</v>
      </c>
      <c r="F34" s="365">
        <f t="shared" ref="F34:F51" si="3">C34*E34</f>
        <v>172.2481536544646</v>
      </c>
      <c r="G34" s="372">
        <f t="shared" ref="G34:G51" si="4">I33*J$11</f>
        <v>58.447660836837564</v>
      </c>
      <c r="H34" s="373">
        <f t="shared" ref="H34:H51" si="5">C34-G34</f>
        <v>137.55233916316243</v>
      </c>
      <c r="I34" s="373">
        <f t="shared" ref="I34:I51" si="6">I33-H34</f>
        <v>1190.8035889467822</v>
      </c>
      <c r="J34" s="365">
        <f t="shared" si="2"/>
        <v>1138.4447781487388</v>
      </c>
      <c r="K34" s="373">
        <f t="shared" ref="K34:K51" si="7">IF(A34&gt;F$23,0,I$31/F$23)</f>
        <v>142.30559726859232</v>
      </c>
    </row>
    <row r="35" spans="1:17" s="31" customFormat="1" ht="15" customHeight="1" x14ac:dyDescent="0.2">
      <c r="A35" s="93">
        <v>4</v>
      </c>
      <c r="B35" s="855">
        <f t="shared" si="0"/>
        <v>2017</v>
      </c>
      <c r="C35" s="32">
        <f t="shared" si="0"/>
        <v>189</v>
      </c>
      <c r="E35" s="366">
        <f t="shared" si="1"/>
        <v>0.84177884145781834</v>
      </c>
      <c r="F35" s="365">
        <f t="shared" si="3"/>
        <v>159.09620103552766</v>
      </c>
      <c r="G35" s="372">
        <f t="shared" si="4"/>
        <v>52.395357913658415</v>
      </c>
      <c r="H35" s="373">
        <f t="shared" si="5"/>
        <v>136.60464208634158</v>
      </c>
      <c r="I35" s="373">
        <f t="shared" si="6"/>
        <v>1054.1989468604406</v>
      </c>
      <c r="J35" s="365">
        <f t="shared" si="2"/>
        <v>996.13918088014645</v>
      </c>
      <c r="K35" s="373">
        <f t="shared" si="7"/>
        <v>142.30559726859232</v>
      </c>
      <c r="O35" s="325"/>
      <c r="P35" s="325"/>
      <c r="Q35" s="325"/>
    </row>
    <row r="36" spans="1:17" s="31" customFormat="1" ht="15" customHeight="1" x14ac:dyDescent="0.2">
      <c r="A36" s="93">
        <v>5</v>
      </c>
      <c r="B36" s="855">
        <f t="shared" si="0"/>
        <v>2018</v>
      </c>
      <c r="C36" s="32">
        <f t="shared" si="0"/>
        <v>186</v>
      </c>
      <c r="E36" s="366">
        <f t="shared" si="1"/>
        <v>0.8063015722776038</v>
      </c>
      <c r="F36" s="365">
        <f t="shared" si="3"/>
        <v>149.9720924436343</v>
      </c>
      <c r="G36" s="372">
        <f t="shared" si="4"/>
        <v>46.384753661859385</v>
      </c>
      <c r="H36" s="373">
        <f t="shared" si="5"/>
        <v>139.61524633814062</v>
      </c>
      <c r="I36" s="373">
        <f t="shared" si="6"/>
        <v>914.58370052229998</v>
      </c>
      <c r="J36" s="365">
        <f t="shared" si="2"/>
        <v>853.8335836115541</v>
      </c>
      <c r="K36" s="373">
        <f t="shared" si="7"/>
        <v>142.30559726859232</v>
      </c>
      <c r="O36" s="325"/>
      <c r="P36" s="325"/>
      <c r="Q36" s="325"/>
    </row>
    <row r="37" spans="1:17" s="31" customFormat="1" ht="15" customHeight="1" x14ac:dyDescent="0.2">
      <c r="A37" s="93">
        <f t="shared" ref="A37:B51" si="8">A36+1</f>
        <v>6</v>
      </c>
      <c r="B37" s="855">
        <f>B36+1</f>
        <v>2019</v>
      </c>
      <c r="C37" s="1153">
        <f>IF(A37&gt;F$23,0,IF(A37=F$23,C$20-SUM(C$32:C36),C$18))</f>
        <v>186</v>
      </c>
      <c r="E37" s="366">
        <f t="shared" si="1"/>
        <v>0.7723195136758656</v>
      </c>
      <c r="F37" s="365">
        <f t="shared" si="3"/>
        <v>143.651429543711</v>
      </c>
      <c r="G37" s="372">
        <f t="shared" si="4"/>
        <v>40.241682822981197</v>
      </c>
      <c r="H37" s="373">
        <f t="shared" si="5"/>
        <v>145.7583171770188</v>
      </c>
      <c r="I37" s="373">
        <f t="shared" si="6"/>
        <v>768.82538334528113</v>
      </c>
      <c r="J37" s="365">
        <f t="shared" si="2"/>
        <v>711.52798634296175</v>
      </c>
      <c r="K37" s="373">
        <f t="shared" si="7"/>
        <v>142.30559726859232</v>
      </c>
      <c r="O37" s="325"/>
      <c r="P37" s="325"/>
      <c r="Q37" s="325"/>
    </row>
    <row r="38" spans="1:17" s="31" customFormat="1" ht="15" customHeight="1" x14ac:dyDescent="0.2">
      <c r="A38" s="93">
        <f t="shared" si="8"/>
        <v>7</v>
      </c>
      <c r="B38" s="855">
        <f t="shared" si="8"/>
        <v>2020</v>
      </c>
      <c r="C38" s="1153">
        <f>IF(A38&gt;F$23,0,IF(A38=F$23,C$20-SUM(C$32:C37),C$18))</f>
        <v>186</v>
      </c>
      <c r="E38" s="366">
        <f t="shared" si="1"/>
        <v>0.7397696491148138</v>
      </c>
      <c r="F38" s="365">
        <f t="shared" si="3"/>
        <v>137.59715473535536</v>
      </c>
      <c r="G38" s="372">
        <f t="shared" si="4"/>
        <v>33.82831686719237</v>
      </c>
      <c r="H38" s="373">
        <f t="shared" si="5"/>
        <v>152.17168313280763</v>
      </c>
      <c r="I38" s="373">
        <f t="shared" si="6"/>
        <v>616.6537002124735</v>
      </c>
      <c r="J38" s="365">
        <f t="shared" si="2"/>
        <v>569.2223890743694</v>
      </c>
      <c r="K38" s="373">
        <f t="shared" si="7"/>
        <v>142.30559726859232</v>
      </c>
      <c r="O38" s="325"/>
      <c r="P38" s="325"/>
      <c r="Q38" s="325"/>
    </row>
    <row r="39" spans="1:17" s="31" customFormat="1" ht="15" customHeight="1" x14ac:dyDescent="0.2">
      <c r="A39" s="93">
        <f t="shared" si="8"/>
        <v>8</v>
      </c>
      <c r="B39" s="855">
        <f t="shared" si="8"/>
        <v>2021</v>
      </c>
      <c r="C39" s="1153">
        <f>IF(A39&gt;F$23,0,IF(A39=F$23,C$20-SUM(C$32:C38),C$18))</f>
        <v>186</v>
      </c>
      <c r="E39" s="366">
        <f t="shared" si="1"/>
        <v>0.70859161792606684</v>
      </c>
      <c r="F39" s="365">
        <f t="shared" si="3"/>
        <v>131.79804093424843</v>
      </c>
      <c r="G39" s="372">
        <f t="shared" si="4"/>
        <v>27.132762809348833</v>
      </c>
      <c r="H39" s="373">
        <f t="shared" si="5"/>
        <v>158.86723719065117</v>
      </c>
      <c r="I39" s="373">
        <f t="shared" si="6"/>
        <v>457.78646302182233</v>
      </c>
      <c r="J39" s="365">
        <f t="shared" si="2"/>
        <v>426.91679180577705</v>
      </c>
      <c r="K39" s="373">
        <f t="shared" si="7"/>
        <v>142.30559726859232</v>
      </c>
      <c r="O39" s="325"/>
      <c r="P39" s="325"/>
      <c r="Q39" s="325"/>
    </row>
    <row r="40" spans="1:17" s="31" customFormat="1" ht="15" customHeight="1" x14ac:dyDescent="0.2">
      <c r="A40" s="93">
        <f t="shared" si="8"/>
        <v>9</v>
      </c>
      <c r="B40" s="855">
        <f t="shared" si="8"/>
        <v>2022</v>
      </c>
      <c r="C40" s="1153">
        <f>IF(A40&gt;F$23,0,IF(A40=F$23,C$20-SUM(C$32:C39),C$18))</f>
        <v>186</v>
      </c>
      <c r="E40" s="366">
        <f t="shared" si="1"/>
        <v>0.67872760337745863</v>
      </c>
      <c r="F40" s="365">
        <f t="shared" si="3"/>
        <v>126.2433342282073</v>
      </c>
      <c r="G40" s="372">
        <f t="shared" si="4"/>
        <v>20.142604372960182</v>
      </c>
      <c r="H40" s="373">
        <f t="shared" si="5"/>
        <v>165.85739562703981</v>
      </c>
      <c r="I40" s="373">
        <f t="shared" si="6"/>
        <v>291.92906739478252</v>
      </c>
      <c r="J40" s="365">
        <f t="shared" si="2"/>
        <v>284.6111945371847</v>
      </c>
      <c r="K40" s="373">
        <f t="shared" si="7"/>
        <v>142.30559726859232</v>
      </c>
      <c r="O40" s="325"/>
      <c r="P40" s="325"/>
      <c r="Q40" s="325"/>
    </row>
    <row r="41" spans="1:17" s="31" customFormat="1" ht="15" customHeight="1" x14ac:dyDescent="0.2">
      <c r="A41" s="93">
        <f t="shared" si="8"/>
        <v>10</v>
      </c>
      <c r="B41" s="855">
        <f t="shared" si="8"/>
        <v>2023</v>
      </c>
      <c r="C41" s="1153">
        <f>IF(A41&gt;F$23,0,IF(A41=F$23,C$20-SUM(C$32:C40),C$18))</f>
        <v>186</v>
      </c>
      <c r="E41" s="366">
        <f t="shared" si="1"/>
        <v>0.65012222545733589</v>
      </c>
      <c r="F41" s="365">
        <f t="shared" si="3"/>
        <v>120.92273393506447</v>
      </c>
      <c r="G41" s="372">
        <f t="shared" si="4"/>
        <v>12.84487896537043</v>
      </c>
      <c r="H41" s="373">
        <f t="shared" si="5"/>
        <v>173.15512103462956</v>
      </c>
      <c r="I41" s="373">
        <f t="shared" si="6"/>
        <v>118.77394636015296</v>
      </c>
      <c r="J41" s="365">
        <f t="shared" si="2"/>
        <v>142.30559726859238</v>
      </c>
      <c r="K41" s="373">
        <f t="shared" si="7"/>
        <v>142.30559726859232</v>
      </c>
      <c r="O41" s="325"/>
      <c r="P41" s="325"/>
      <c r="Q41" s="325"/>
    </row>
    <row r="42" spans="1:17" s="31" customFormat="1" ht="15" customHeight="1" x14ac:dyDescent="0.2">
      <c r="A42" s="93">
        <f t="shared" si="8"/>
        <v>11</v>
      </c>
      <c r="B42" s="855">
        <f t="shared" si="8"/>
        <v>2024</v>
      </c>
      <c r="C42" s="1153">
        <f>IF(A42&gt;F$23,0,IF(A42=F$23,C$20-SUM(C$32:C41),C$18))</f>
        <v>124</v>
      </c>
      <c r="E42" s="366">
        <f t="shared" si="1"/>
        <v>0.62272243817752471</v>
      </c>
      <c r="F42" s="365">
        <f t="shared" si="3"/>
        <v>77.217582334013059</v>
      </c>
      <c r="G42" s="372">
        <f t="shared" si="4"/>
        <v>5.2260536398467297</v>
      </c>
      <c r="H42" s="373">
        <f t="shared" si="5"/>
        <v>118.77394636015327</v>
      </c>
      <c r="I42" s="373">
        <f t="shared" si="6"/>
        <v>-3.1263880373444408E-13</v>
      </c>
      <c r="J42" s="365">
        <f t="shared" si="2"/>
        <v>0</v>
      </c>
      <c r="K42" s="373">
        <f t="shared" si="7"/>
        <v>142.30559726859232</v>
      </c>
      <c r="O42" s="325"/>
      <c r="P42" s="325"/>
      <c r="Q42" s="325"/>
    </row>
    <row r="43" spans="1:17" s="31" customFormat="1" ht="15" customHeight="1" x14ac:dyDescent="0.2">
      <c r="A43" s="93">
        <f t="shared" si="8"/>
        <v>12</v>
      </c>
      <c r="B43" s="855">
        <f t="shared" si="8"/>
        <v>2025</v>
      </c>
      <c r="C43" s="1153">
        <f>IF(A43&gt;F$23,0,IF(A43=F$23,C$20-SUM(C$32:C42),C$18))</f>
        <v>0</v>
      </c>
      <c r="E43" s="366">
        <f t="shared" si="1"/>
        <v>0.59647743120452557</v>
      </c>
      <c r="F43" s="365">
        <f t="shared" si="3"/>
        <v>0</v>
      </c>
      <c r="G43" s="372">
        <f t="shared" si="4"/>
        <v>-1.3756107364315539E-14</v>
      </c>
      <c r="H43" s="373">
        <f t="shared" si="5"/>
        <v>1.3756107364315539E-14</v>
      </c>
      <c r="I43" s="373">
        <f t="shared" si="6"/>
        <v>-3.2639491109875962E-13</v>
      </c>
      <c r="J43" s="365">
        <f t="shared" si="2"/>
        <v>0</v>
      </c>
      <c r="K43" s="373">
        <f t="shared" si="7"/>
        <v>0</v>
      </c>
      <c r="O43" s="325"/>
      <c r="P43" s="325"/>
      <c r="Q43" s="325"/>
    </row>
    <row r="44" spans="1:17" s="31" customFormat="1" ht="15" customHeight="1" x14ac:dyDescent="0.2">
      <c r="A44" s="93">
        <f t="shared" si="8"/>
        <v>13</v>
      </c>
      <c r="B44" s="855">
        <f t="shared" si="8"/>
        <v>2026</v>
      </c>
      <c r="C44" s="1153">
        <f>IF(A44&gt;F$23,0,IF(A44=F$23,C$20-SUM(C$32:C43),C$18))</f>
        <v>0</v>
      </c>
      <c r="E44" s="366">
        <f t="shared" si="1"/>
        <v>0.57133853563651882</v>
      </c>
      <c r="F44" s="365">
        <f t="shared" si="3"/>
        <v>0</v>
      </c>
      <c r="G44" s="372">
        <f t="shared" si="4"/>
        <v>-1.4361376088345422E-14</v>
      </c>
      <c r="H44" s="373">
        <f t="shared" si="5"/>
        <v>1.4361376088345422E-14</v>
      </c>
      <c r="I44" s="373">
        <f t="shared" si="6"/>
        <v>-3.4075628718710503E-13</v>
      </c>
      <c r="J44" s="365">
        <f t="shared" si="2"/>
        <v>0</v>
      </c>
      <c r="K44" s="373">
        <f t="shared" si="7"/>
        <v>0</v>
      </c>
      <c r="O44" s="325"/>
      <c r="P44" s="325"/>
      <c r="Q44" s="325"/>
    </row>
    <row r="45" spans="1:17" s="31" customFormat="1" ht="15" customHeight="1" x14ac:dyDescent="0.2">
      <c r="A45" s="93">
        <f t="shared" si="8"/>
        <v>14</v>
      </c>
      <c r="B45" s="855">
        <f t="shared" si="8"/>
        <v>2027</v>
      </c>
      <c r="C45" s="1153">
        <f>IF(A45&gt;F$23,0,IF(A45=F$23,C$20-SUM(C$32:C44),C$18))</f>
        <v>0</v>
      </c>
      <c r="E45" s="366">
        <f t="shared" si="1"/>
        <v>0.54725913375145474</v>
      </c>
      <c r="F45" s="365">
        <f t="shared" si="3"/>
        <v>0</v>
      </c>
      <c r="G45" s="372">
        <f t="shared" si="4"/>
        <v>-1.4993276636232619E-14</v>
      </c>
      <c r="H45" s="373">
        <f t="shared" si="5"/>
        <v>1.4993276636232619E-14</v>
      </c>
      <c r="I45" s="373">
        <f t="shared" si="6"/>
        <v>-3.5574956382333764E-13</v>
      </c>
      <c r="J45" s="365">
        <f t="shared" si="2"/>
        <v>0</v>
      </c>
      <c r="K45" s="373">
        <f t="shared" si="7"/>
        <v>0</v>
      </c>
      <c r="O45" s="325"/>
      <c r="P45" s="325"/>
      <c r="Q45" s="325"/>
    </row>
    <row r="46" spans="1:17" s="31" customFormat="1" ht="15" customHeight="1" x14ac:dyDescent="0.2">
      <c r="A46" s="93">
        <f t="shared" si="8"/>
        <v>15</v>
      </c>
      <c r="B46" s="855">
        <f t="shared" si="8"/>
        <v>2028</v>
      </c>
      <c r="C46" s="1153">
        <f>IF(A46&gt;F$23,0,IF(A46=F$23,C$20-SUM(C$32:C45),C$18))</f>
        <v>0</v>
      </c>
      <c r="E46" s="366">
        <f t="shared" si="1"/>
        <v>0.52419457255886459</v>
      </c>
      <c r="F46" s="365">
        <f t="shared" si="3"/>
        <v>0</v>
      </c>
      <c r="G46" s="372">
        <f t="shared" si="4"/>
        <v>-1.5652980808226855E-14</v>
      </c>
      <c r="H46" s="373">
        <f t="shared" si="5"/>
        <v>1.5652980808226855E-14</v>
      </c>
      <c r="I46" s="373">
        <f t="shared" si="6"/>
        <v>-3.7140254463156447E-13</v>
      </c>
      <c r="J46" s="365">
        <f t="shared" si="2"/>
        <v>0</v>
      </c>
      <c r="K46" s="373">
        <f t="shared" si="7"/>
        <v>0</v>
      </c>
      <c r="O46" s="325"/>
      <c r="P46" s="325"/>
      <c r="Q46" s="325"/>
    </row>
    <row r="47" spans="1:17" s="31" customFormat="1" ht="15" customHeight="1" x14ac:dyDescent="0.2">
      <c r="A47" s="93">
        <f t="shared" si="8"/>
        <v>16</v>
      </c>
      <c r="B47" s="855">
        <f t="shared" si="8"/>
        <v>2029</v>
      </c>
      <c r="C47" s="1153">
        <f>IF(A47&gt;F$23,0,IF(A47=F$23,C$20-SUM(C$32:C46),C$18))</f>
        <v>0</v>
      </c>
      <c r="E47" s="366">
        <f t="shared" si="1"/>
        <v>0.50210208099508113</v>
      </c>
      <c r="F47" s="365">
        <f t="shared" si="3"/>
        <v>0</v>
      </c>
      <c r="G47" s="372">
        <f t="shared" si="4"/>
        <v>-1.6341711963788836E-14</v>
      </c>
      <c r="H47" s="373">
        <f t="shared" si="5"/>
        <v>1.6341711963788836E-14</v>
      </c>
      <c r="I47" s="373">
        <f t="shared" si="6"/>
        <v>-3.8774425659535331E-13</v>
      </c>
      <c r="J47" s="365">
        <f t="shared" si="2"/>
        <v>0</v>
      </c>
      <c r="K47" s="373">
        <f t="shared" si="7"/>
        <v>0</v>
      </c>
      <c r="O47" s="325"/>
      <c r="P47" s="325"/>
      <c r="Q47" s="325"/>
    </row>
    <row r="48" spans="1:17" s="31" customFormat="1" ht="15" customHeight="1" x14ac:dyDescent="0.2">
      <c r="A48" s="93">
        <f t="shared" si="8"/>
        <v>17</v>
      </c>
      <c r="B48" s="855">
        <f t="shared" si="8"/>
        <v>2030</v>
      </c>
      <c r="C48" s="1153">
        <f>IF(A48&gt;F$23,0,IF(A48=F$23,C$20-SUM(C$32:C47),C$18))</f>
        <v>0</v>
      </c>
      <c r="E48" s="366">
        <f t="shared" si="1"/>
        <v>0.48094069060831529</v>
      </c>
      <c r="F48" s="365">
        <f t="shared" si="3"/>
        <v>0</v>
      </c>
      <c r="G48" s="372">
        <f t="shared" si="4"/>
        <v>-1.7060747290195544E-14</v>
      </c>
      <c r="H48" s="373">
        <f t="shared" si="5"/>
        <v>1.7060747290195544E-14</v>
      </c>
      <c r="I48" s="373">
        <f t="shared" si="6"/>
        <v>-4.0480500388554886E-13</v>
      </c>
      <c r="J48" s="365">
        <f t="shared" si="2"/>
        <v>0</v>
      </c>
      <c r="K48" s="373">
        <f t="shared" si="7"/>
        <v>0</v>
      </c>
      <c r="O48" s="325"/>
      <c r="P48" s="325"/>
      <c r="Q48" s="325"/>
    </row>
    <row r="49" spans="1:17" s="31" customFormat="1" ht="15" customHeight="1" x14ac:dyDescent="0.2">
      <c r="A49" s="93">
        <f t="shared" si="8"/>
        <v>18</v>
      </c>
      <c r="B49" s="855">
        <f t="shared" si="8"/>
        <v>2031</v>
      </c>
      <c r="C49" s="1153">
        <f>IF(A49&gt;F$23,0,IF(A49=F$23,C$20-SUM(C$32:C48),C$18))</f>
        <v>0</v>
      </c>
      <c r="E49" s="366">
        <f t="shared" si="1"/>
        <v>0.46067115958650884</v>
      </c>
      <c r="F49" s="365">
        <f t="shared" si="3"/>
        <v>0</v>
      </c>
      <c r="G49" s="372">
        <f t="shared" si="4"/>
        <v>-1.7811420170964149E-14</v>
      </c>
      <c r="H49" s="373">
        <f t="shared" si="5"/>
        <v>1.7811420170964149E-14</v>
      </c>
      <c r="I49" s="373">
        <f t="shared" si="6"/>
        <v>-4.2261642405651299E-13</v>
      </c>
      <c r="J49" s="365">
        <f t="shared" si="2"/>
        <v>0</v>
      </c>
      <c r="K49" s="373">
        <f t="shared" si="7"/>
        <v>0</v>
      </c>
      <c r="O49" s="325"/>
      <c r="P49" s="325"/>
      <c r="Q49" s="325"/>
    </row>
    <row r="50" spans="1:17" s="31" customFormat="1" ht="15" customHeight="1" x14ac:dyDescent="0.2">
      <c r="A50" s="93">
        <f t="shared" si="8"/>
        <v>19</v>
      </c>
      <c r="B50" s="855">
        <f t="shared" si="8"/>
        <v>2032</v>
      </c>
      <c r="C50" s="1153">
        <f>IF(A50&gt;F$23,0,IF(A50=F$23,C$20-SUM(C$32:C49),C$18))</f>
        <v>0</v>
      </c>
      <c r="E50" s="366">
        <f t="shared" si="1"/>
        <v>0.44125589998707743</v>
      </c>
      <c r="F50" s="365">
        <f t="shared" si="3"/>
        <v>0</v>
      </c>
      <c r="G50" s="372">
        <f t="shared" si="4"/>
        <v>-1.8595122658486572E-14</v>
      </c>
      <c r="H50" s="373">
        <f t="shared" si="5"/>
        <v>1.8595122658486572E-14</v>
      </c>
      <c r="I50" s="373">
        <f t="shared" si="6"/>
        <v>-4.4121154671499955E-13</v>
      </c>
      <c r="J50" s="365">
        <f t="shared" si="2"/>
        <v>0</v>
      </c>
      <c r="K50" s="373">
        <f t="shared" si="7"/>
        <v>0</v>
      </c>
      <c r="O50" s="325"/>
      <c r="P50" s="325"/>
      <c r="Q50" s="325"/>
    </row>
    <row r="51" spans="1:17" ht="15" customHeight="1" x14ac:dyDescent="0.2">
      <c r="A51" s="93">
        <f t="shared" si="8"/>
        <v>20</v>
      </c>
      <c r="B51" s="855">
        <f t="shared" si="8"/>
        <v>2033</v>
      </c>
      <c r="C51" s="1153">
        <f>IF(A51&gt;F$23,0,IF(A51=F$23,C$20-SUM(C$32:C50),C$18))</f>
        <v>0</v>
      </c>
      <c r="E51" s="366">
        <f t="shared" si="1"/>
        <v>0.42265890803359907</v>
      </c>
      <c r="F51" s="365">
        <f t="shared" si="3"/>
        <v>0</v>
      </c>
      <c r="G51" s="372">
        <f t="shared" si="4"/>
        <v>-1.941330805545998E-14</v>
      </c>
      <c r="H51" s="373">
        <f t="shared" si="5"/>
        <v>1.941330805545998E-14</v>
      </c>
      <c r="I51" s="373">
        <f t="shared" si="6"/>
        <v>-4.6062485477045953E-13</v>
      </c>
      <c r="J51" s="365">
        <f t="shared" si="2"/>
        <v>0</v>
      </c>
      <c r="K51" s="373">
        <f t="shared" si="7"/>
        <v>0</v>
      </c>
    </row>
    <row r="52" spans="1:17" ht="15" customHeight="1" thickBot="1" x14ac:dyDescent="0.25">
      <c r="A52" s="352" t="s">
        <v>441</v>
      </c>
      <c r="C52" s="387">
        <f>SUM(C32:C51)</f>
        <v>1995</v>
      </c>
      <c r="F52" s="387">
        <f>SUM(F32:F51)</f>
        <v>1565.3615699545155</v>
      </c>
      <c r="G52" s="387">
        <f>SUM(G32:G51)</f>
        <v>429.63843004548443</v>
      </c>
      <c r="H52" s="387">
        <f>SUM(H32:H51)</f>
        <v>1565.3615699545155</v>
      </c>
      <c r="I52" s="120"/>
      <c r="J52" s="120"/>
      <c r="K52" s="387">
        <f>SUM(K32:K51)</f>
        <v>1565.3615699545153</v>
      </c>
    </row>
    <row r="53" spans="1:17" ht="15" customHeight="1" x14ac:dyDescent="0.2">
      <c r="I53" s="33"/>
    </row>
    <row r="54" spans="1:17" ht="15" customHeight="1" x14ac:dyDescent="0.2">
      <c r="A54" s="359" t="s">
        <v>442</v>
      </c>
      <c r="B54" s="359" t="s">
        <v>443</v>
      </c>
      <c r="C54" s="367" t="s">
        <v>444</v>
      </c>
      <c r="D54" s="368"/>
      <c r="E54" s="359" t="s">
        <v>445</v>
      </c>
      <c r="F54" s="359" t="s">
        <v>446</v>
      </c>
      <c r="G54" s="359" t="s">
        <v>447</v>
      </c>
      <c r="H54" s="359" t="s">
        <v>448</v>
      </c>
      <c r="I54" s="325"/>
      <c r="J54" s="325"/>
      <c r="K54" s="325"/>
    </row>
    <row r="55" spans="1:17" ht="15" customHeight="1" x14ac:dyDescent="0.2">
      <c r="A55" s="362" t="s">
        <v>449</v>
      </c>
      <c r="B55" s="362" t="s">
        <v>450</v>
      </c>
      <c r="C55" s="369" t="s">
        <v>451</v>
      </c>
      <c r="D55" s="370"/>
      <c r="E55" s="371" t="s">
        <v>452</v>
      </c>
      <c r="F55" s="371" t="s">
        <v>453</v>
      </c>
      <c r="G55" s="371" t="s">
        <v>454</v>
      </c>
      <c r="H55" s="371" t="s">
        <v>455</v>
      </c>
      <c r="I55" s="325"/>
      <c r="J55" s="325"/>
      <c r="K55" s="325"/>
    </row>
    <row r="56" spans="1:17" ht="15" customHeight="1" x14ac:dyDescent="0.2">
      <c r="A56" s="1086" t="s">
        <v>424</v>
      </c>
      <c r="B56" s="1095" t="s">
        <v>60</v>
      </c>
      <c r="C56" s="1098" t="s">
        <v>59</v>
      </c>
      <c r="D56" s="1099"/>
      <c r="E56" s="1100"/>
      <c r="F56" s="1101"/>
      <c r="G56" s="1102" t="s">
        <v>456</v>
      </c>
      <c r="H56" s="1101"/>
      <c r="I56" s="325"/>
      <c r="J56" s="325"/>
      <c r="K56" s="325"/>
    </row>
    <row r="57" spans="1:17" ht="15" customHeight="1" x14ac:dyDescent="0.2">
      <c r="A57" s="1089" t="s">
        <v>430</v>
      </c>
      <c r="B57" s="1096" t="s">
        <v>457</v>
      </c>
      <c r="C57" s="1090" t="s">
        <v>113</v>
      </c>
      <c r="D57" s="1091"/>
      <c r="E57" s="1089" t="s">
        <v>72</v>
      </c>
      <c r="F57" s="1089" t="s">
        <v>45</v>
      </c>
      <c r="G57" s="1089" t="s">
        <v>458</v>
      </c>
      <c r="H57" s="1089" t="s">
        <v>459</v>
      </c>
      <c r="I57" s="325"/>
      <c r="J57" s="325"/>
      <c r="K57" s="325"/>
    </row>
    <row r="58" spans="1:17" ht="15" customHeight="1" x14ac:dyDescent="0.2">
      <c r="A58" s="1092" t="s">
        <v>429</v>
      </c>
      <c r="B58" s="1097" t="s">
        <v>460</v>
      </c>
      <c r="C58" s="1093" t="s">
        <v>115</v>
      </c>
      <c r="D58" s="1094"/>
      <c r="E58" s="1092" t="s">
        <v>115</v>
      </c>
      <c r="F58" s="1092" t="s">
        <v>115</v>
      </c>
      <c r="G58" s="1092" t="s">
        <v>461</v>
      </c>
      <c r="H58" s="1092" t="s">
        <v>461</v>
      </c>
    </row>
    <row r="59" spans="1:17" ht="15" customHeight="1" x14ac:dyDescent="0.2">
      <c r="A59" s="394">
        <f>B32</f>
        <v>2014</v>
      </c>
      <c r="B59" s="411">
        <f>C32</f>
        <v>177</v>
      </c>
      <c r="C59" s="390">
        <f>G32</f>
        <v>68.875909077998685</v>
      </c>
      <c r="D59" s="390"/>
      <c r="E59" s="390">
        <f>K32</f>
        <v>142.30559726859232</v>
      </c>
      <c r="F59" s="390">
        <f>C59+E59</f>
        <v>211.18150634659099</v>
      </c>
      <c r="G59" s="390">
        <f>F59-B59</f>
        <v>34.181506346590993</v>
      </c>
      <c r="H59" s="390">
        <f t="shared" ref="H59:H78" si="9">G59*(1-J$10)</f>
        <v>20.768510185270479</v>
      </c>
    </row>
    <row r="60" spans="1:17" ht="15" customHeight="1" x14ac:dyDescent="0.2">
      <c r="A60" s="395">
        <f>B33</f>
        <v>2015</v>
      </c>
      <c r="B60" s="410">
        <f>C33</f>
        <v>193</v>
      </c>
      <c r="C60" s="373">
        <f>G33</f>
        <v>64.118449077430611</v>
      </c>
      <c r="D60" s="373"/>
      <c r="E60" s="373">
        <f>K33</f>
        <v>142.30559726859232</v>
      </c>
      <c r="F60" s="373">
        <f>C60+E60</f>
        <v>206.42404634602292</v>
      </c>
      <c r="G60" s="373">
        <f t="shared" ref="G60:G78" si="10">F60-B60</f>
        <v>13.424046346022919</v>
      </c>
      <c r="H60" s="373">
        <f t="shared" si="9"/>
        <v>8.1563825899886098</v>
      </c>
    </row>
    <row r="61" spans="1:17" ht="15" customHeight="1" x14ac:dyDescent="0.2">
      <c r="A61" s="395">
        <f t="shared" ref="A61:B76" si="11">B34</f>
        <v>2016</v>
      </c>
      <c r="B61" s="410">
        <f t="shared" si="11"/>
        <v>196</v>
      </c>
      <c r="C61" s="373">
        <f t="shared" ref="C61:C78" si="12">G34</f>
        <v>58.447660836837564</v>
      </c>
      <c r="D61" s="373"/>
      <c r="E61" s="373">
        <f t="shared" ref="E61:E78" si="13">K34</f>
        <v>142.30559726859232</v>
      </c>
      <c r="F61" s="373">
        <f t="shared" ref="F61:F78" si="14">C61+E61</f>
        <v>200.75325810542989</v>
      </c>
      <c r="G61" s="373">
        <f t="shared" si="10"/>
        <v>4.753258105429893</v>
      </c>
      <c r="H61" s="373">
        <f t="shared" si="9"/>
        <v>2.8880555577295555</v>
      </c>
      <c r="L61" s="325"/>
      <c r="M61" s="325"/>
      <c r="N61" s="325"/>
    </row>
    <row r="62" spans="1:17" ht="15" customHeight="1" x14ac:dyDescent="0.2">
      <c r="A62" s="395">
        <f t="shared" si="11"/>
        <v>2017</v>
      </c>
      <c r="B62" s="410">
        <f t="shared" si="11"/>
        <v>189</v>
      </c>
      <c r="C62" s="373">
        <f t="shared" si="12"/>
        <v>52.395357913658415</v>
      </c>
      <c r="D62" s="373"/>
      <c r="E62" s="373">
        <f t="shared" si="13"/>
        <v>142.30559726859232</v>
      </c>
      <c r="F62" s="373">
        <f t="shared" si="14"/>
        <v>194.70095518225074</v>
      </c>
      <c r="G62" s="373">
        <f t="shared" si="10"/>
        <v>5.7009551822507376</v>
      </c>
      <c r="H62" s="373">
        <f t="shared" si="9"/>
        <v>3.4638715031396887</v>
      </c>
      <c r="L62" s="325"/>
      <c r="M62" s="325"/>
      <c r="N62" s="325"/>
    </row>
    <row r="63" spans="1:17" ht="15" customHeight="1" x14ac:dyDescent="0.2">
      <c r="A63" s="395">
        <f t="shared" si="11"/>
        <v>2018</v>
      </c>
      <c r="B63" s="410">
        <f t="shared" si="11"/>
        <v>186</v>
      </c>
      <c r="C63" s="373">
        <f t="shared" si="12"/>
        <v>46.384753661859385</v>
      </c>
      <c r="D63" s="373"/>
      <c r="E63" s="373">
        <f t="shared" si="13"/>
        <v>142.30559726859232</v>
      </c>
      <c r="F63" s="373">
        <f t="shared" si="14"/>
        <v>188.6903509304517</v>
      </c>
      <c r="G63" s="373">
        <f t="shared" si="10"/>
        <v>2.6903509304517002</v>
      </c>
      <c r="H63" s="373">
        <f t="shared" si="9"/>
        <v>1.6346436033124254</v>
      </c>
      <c r="L63" s="325"/>
      <c r="M63" s="325"/>
      <c r="N63" s="325"/>
    </row>
    <row r="64" spans="1:17" ht="15" customHeight="1" x14ac:dyDescent="0.2">
      <c r="A64" s="395">
        <f t="shared" si="11"/>
        <v>2019</v>
      </c>
      <c r="B64" s="410">
        <f t="shared" si="11"/>
        <v>186</v>
      </c>
      <c r="C64" s="373">
        <f t="shared" si="12"/>
        <v>40.241682822981197</v>
      </c>
      <c r="D64" s="373"/>
      <c r="E64" s="373">
        <f t="shared" si="13"/>
        <v>142.30559726859232</v>
      </c>
      <c r="F64" s="373">
        <f t="shared" si="14"/>
        <v>182.54728009157353</v>
      </c>
      <c r="G64" s="373">
        <f t="shared" si="10"/>
        <v>-3.4527199084264737</v>
      </c>
      <c r="H64" s="373">
        <f t="shared" si="9"/>
        <v>-2.0978551342338068</v>
      </c>
      <c r="L64" s="325"/>
      <c r="M64" s="325"/>
      <c r="N64" s="325"/>
    </row>
    <row r="65" spans="1:17" ht="15" customHeight="1" x14ac:dyDescent="0.2">
      <c r="A65" s="395">
        <f t="shared" si="11"/>
        <v>2020</v>
      </c>
      <c r="B65" s="410">
        <f t="shared" si="11"/>
        <v>186</v>
      </c>
      <c r="C65" s="373">
        <f t="shared" si="12"/>
        <v>33.82831686719237</v>
      </c>
      <c r="D65" s="373"/>
      <c r="E65" s="373">
        <f t="shared" si="13"/>
        <v>142.30559726859232</v>
      </c>
      <c r="F65" s="373">
        <f t="shared" si="14"/>
        <v>176.13391413578469</v>
      </c>
      <c r="G65" s="373">
        <f t="shared" si="10"/>
        <v>-9.8660858642153073</v>
      </c>
      <c r="H65" s="373">
        <f t="shared" si="9"/>
        <v>-5.9945838162320859</v>
      </c>
      <c r="L65" s="325"/>
      <c r="M65" s="325"/>
      <c r="N65" s="325"/>
    </row>
    <row r="66" spans="1:17" ht="15" customHeight="1" x14ac:dyDescent="0.2">
      <c r="A66" s="395">
        <f t="shared" si="11"/>
        <v>2021</v>
      </c>
      <c r="B66" s="410">
        <f t="shared" si="11"/>
        <v>186</v>
      </c>
      <c r="C66" s="373">
        <f t="shared" si="12"/>
        <v>27.132762809348833</v>
      </c>
      <c r="D66" s="373"/>
      <c r="E66" s="373">
        <f t="shared" si="13"/>
        <v>142.30559726859232</v>
      </c>
      <c r="F66" s="373">
        <f t="shared" si="14"/>
        <v>169.43836007794116</v>
      </c>
      <c r="G66" s="373">
        <f t="shared" si="10"/>
        <v>-16.561639922058845</v>
      </c>
      <c r="H66" s="373">
        <f t="shared" si="9"/>
        <v>-10.062768560238286</v>
      </c>
    </row>
    <row r="67" spans="1:17" s="31" customFormat="1" ht="15" customHeight="1" x14ac:dyDescent="0.2">
      <c r="A67" s="395">
        <f t="shared" si="11"/>
        <v>2022</v>
      </c>
      <c r="B67" s="410">
        <f t="shared" si="11"/>
        <v>186</v>
      </c>
      <c r="C67" s="373">
        <f t="shared" si="12"/>
        <v>20.142604372960182</v>
      </c>
      <c r="D67" s="373"/>
      <c r="E67" s="373">
        <f t="shared" si="13"/>
        <v>142.30559726859232</v>
      </c>
      <c r="F67" s="373">
        <f t="shared" si="14"/>
        <v>162.44820164155252</v>
      </c>
      <c r="G67" s="373">
        <f t="shared" si="10"/>
        <v>-23.551798358447485</v>
      </c>
      <c r="H67" s="373">
        <f t="shared" si="9"/>
        <v>-14.30995343298075</v>
      </c>
      <c r="O67" s="325"/>
      <c r="P67" s="325"/>
      <c r="Q67" s="325"/>
    </row>
    <row r="68" spans="1:17" s="31" customFormat="1" ht="15" customHeight="1" x14ac:dyDescent="0.2">
      <c r="A68" s="395">
        <f t="shared" si="11"/>
        <v>2023</v>
      </c>
      <c r="B68" s="410">
        <f t="shared" si="11"/>
        <v>186</v>
      </c>
      <c r="C68" s="373">
        <f t="shared" si="12"/>
        <v>12.84487896537043</v>
      </c>
      <c r="D68" s="373"/>
      <c r="E68" s="373">
        <f t="shared" si="13"/>
        <v>142.30559726859232</v>
      </c>
      <c r="F68" s="373">
        <f t="shared" si="14"/>
        <v>155.15047623396276</v>
      </c>
      <c r="G68" s="373">
        <f t="shared" si="10"/>
        <v>-30.849523766037237</v>
      </c>
      <c r="H68" s="373">
        <f t="shared" si="9"/>
        <v>-18.744014440123891</v>
      </c>
      <c r="O68" s="325"/>
      <c r="P68" s="325"/>
      <c r="Q68" s="325"/>
    </row>
    <row r="69" spans="1:17" s="31" customFormat="1" ht="15" customHeight="1" x14ac:dyDescent="0.2">
      <c r="A69" s="395">
        <f t="shared" si="11"/>
        <v>2024</v>
      </c>
      <c r="B69" s="410">
        <f t="shared" si="11"/>
        <v>124</v>
      </c>
      <c r="C69" s="373">
        <f t="shared" si="12"/>
        <v>5.2260536398467297</v>
      </c>
      <c r="D69" s="373"/>
      <c r="E69" s="373">
        <f t="shared" si="13"/>
        <v>142.30559726859232</v>
      </c>
      <c r="F69" s="373">
        <f t="shared" si="14"/>
        <v>147.53165090843905</v>
      </c>
      <c r="G69" s="373">
        <f t="shared" si="10"/>
        <v>23.531650908439047</v>
      </c>
      <c r="H69" s="373">
        <f t="shared" si="9"/>
        <v>14.297711944368029</v>
      </c>
      <c r="O69" s="325"/>
      <c r="P69" s="325"/>
      <c r="Q69" s="325"/>
    </row>
    <row r="70" spans="1:17" s="31" customFormat="1" ht="15" customHeight="1" x14ac:dyDescent="0.2">
      <c r="A70" s="395">
        <f t="shared" si="11"/>
        <v>2025</v>
      </c>
      <c r="B70" s="410">
        <f t="shared" si="11"/>
        <v>0</v>
      </c>
      <c r="C70" s="373">
        <f t="shared" si="12"/>
        <v>-1.3756107364315539E-14</v>
      </c>
      <c r="D70" s="373"/>
      <c r="E70" s="373">
        <f t="shared" si="13"/>
        <v>0</v>
      </c>
      <c r="F70" s="373">
        <f t="shared" si="14"/>
        <v>-1.3756107364315539E-14</v>
      </c>
      <c r="G70" s="373">
        <f t="shared" si="10"/>
        <v>-1.3756107364315539E-14</v>
      </c>
      <c r="H70" s="373">
        <f t="shared" si="9"/>
        <v>-8.358141183381593E-15</v>
      </c>
      <c r="O70" s="325"/>
      <c r="P70" s="325"/>
      <c r="Q70" s="325"/>
    </row>
    <row r="71" spans="1:17" s="31" customFormat="1" ht="15" customHeight="1" x14ac:dyDescent="0.2">
      <c r="A71" s="395">
        <f t="shared" si="11"/>
        <v>2026</v>
      </c>
      <c r="B71" s="410">
        <f t="shared" si="11"/>
        <v>0</v>
      </c>
      <c r="C71" s="373">
        <f t="shared" si="12"/>
        <v>-1.4361376088345422E-14</v>
      </c>
      <c r="D71" s="373"/>
      <c r="E71" s="373">
        <f t="shared" si="13"/>
        <v>0</v>
      </c>
      <c r="F71" s="373">
        <f t="shared" si="14"/>
        <v>-1.4361376088345422E-14</v>
      </c>
      <c r="G71" s="373">
        <f t="shared" si="10"/>
        <v>-1.4361376088345422E-14</v>
      </c>
      <c r="H71" s="373">
        <f t="shared" si="9"/>
        <v>-8.7258993954503829E-15</v>
      </c>
      <c r="O71" s="325"/>
      <c r="P71" s="325"/>
      <c r="Q71" s="325"/>
    </row>
    <row r="72" spans="1:17" s="31" customFormat="1" ht="15" customHeight="1" x14ac:dyDescent="0.2">
      <c r="A72" s="395">
        <f t="shared" si="11"/>
        <v>2027</v>
      </c>
      <c r="B72" s="410">
        <f t="shared" si="11"/>
        <v>0</v>
      </c>
      <c r="C72" s="373">
        <f t="shared" si="12"/>
        <v>-1.4993276636232619E-14</v>
      </c>
      <c r="D72" s="373"/>
      <c r="E72" s="373">
        <f t="shared" si="13"/>
        <v>0</v>
      </c>
      <c r="F72" s="373">
        <f t="shared" si="14"/>
        <v>-1.4993276636232619E-14</v>
      </c>
      <c r="G72" s="373">
        <f t="shared" si="10"/>
        <v>-1.4993276636232619E-14</v>
      </c>
      <c r="H72" s="373">
        <f t="shared" si="9"/>
        <v>-9.1098389688501997E-15</v>
      </c>
      <c r="O72" s="325"/>
      <c r="P72" s="325"/>
      <c r="Q72" s="325"/>
    </row>
    <row r="73" spans="1:17" s="31" customFormat="1" ht="15" customHeight="1" x14ac:dyDescent="0.2">
      <c r="A73" s="395">
        <f t="shared" si="11"/>
        <v>2028</v>
      </c>
      <c r="B73" s="410">
        <f t="shared" si="11"/>
        <v>0</v>
      </c>
      <c r="C73" s="373">
        <f t="shared" si="12"/>
        <v>-1.5652980808226855E-14</v>
      </c>
      <c r="D73" s="373"/>
      <c r="E73" s="373">
        <f t="shared" si="13"/>
        <v>0</v>
      </c>
      <c r="F73" s="373">
        <f t="shared" si="14"/>
        <v>-1.5652980808226855E-14</v>
      </c>
      <c r="G73" s="373">
        <f t="shared" si="10"/>
        <v>-1.5652980808226855E-14</v>
      </c>
      <c r="H73" s="373">
        <f t="shared" si="9"/>
        <v>-9.5106718834796079E-15</v>
      </c>
      <c r="O73" s="325"/>
      <c r="P73" s="325"/>
      <c r="Q73" s="325"/>
    </row>
    <row r="74" spans="1:17" s="31" customFormat="1" ht="15" customHeight="1" x14ac:dyDescent="0.2">
      <c r="A74" s="395">
        <f t="shared" si="11"/>
        <v>2029</v>
      </c>
      <c r="B74" s="410">
        <f t="shared" si="11"/>
        <v>0</v>
      </c>
      <c r="C74" s="373">
        <f t="shared" si="12"/>
        <v>-1.6341711963788836E-14</v>
      </c>
      <c r="D74" s="373"/>
      <c r="E74" s="373">
        <f t="shared" si="13"/>
        <v>0</v>
      </c>
      <c r="F74" s="373">
        <f t="shared" si="14"/>
        <v>-1.6341711963788836E-14</v>
      </c>
      <c r="G74" s="373">
        <f t="shared" si="10"/>
        <v>-1.6341711963788836E-14</v>
      </c>
      <c r="H74" s="373">
        <f t="shared" si="9"/>
        <v>-9.9291414463527111E-15</v>
      </c>
      <c r="O74" s="325"/>
      <c r="P74" s="325"/>
      <c r="Q74" s="325"/>
    </row>
    <row r="75" spans="1:17" s="31" customFormat="1" ht="15" customHeight="1" x14ac:dyDescent="0.2">
      <c r="A75" s="395">
        <f t="shared" si="11"/>
        <v>2030</v>
      </c>
      <c r="B75" s="410">
        <f t="shared" si="11"/>
        <v>0</v>
      </c>
      <c r="C75" s="373">
        <f t="shared" si="12"/>
        <v>-1.7060747290195544E-14</v>
      </c>
      <c r="D75" s="373"/>
      <c r="E75" s="373">
        <f t="shared" si="13"/>
        <v>0</v>
      </c>
      <c r="F75" s="373">
        <f t="shared" si="14"/>
        <v>-1.7060747290195544E-14</v>
      </c>
      <c r="G75" s="373">
        <f t="shared" si="10"/>
        <v>-1.7060747290195544E-14</v>
      </c>
      <c r="H75" s="373">
        <f t="shared" si="9"/>
        <v>-1.036602366999223E-14</v>
      </c>
      <c r="O75" s="325"/>
      <c r="P75" s="325"/>
      <c r="Q75" s="325"/>
    </row>
    <row r="76" spans="1:17" s="31" customFormat="1" ht="15" customHeight="1" x14ac:dyDescent="0.2">
      <c r="A76" s="395">
        <f t="shared" si="11"/>
        <v>2031</v>
      </c>
      <c r="B76" s="410">
        <f t="shared" si="11"/>
        <v>0</v>
      </c>
      <c r="C76" s="373">
        <f t="shared" si="12"/>
        <v>-1.7811420170964149E-14</v>
      </c>
      <c r="D76" s="373"/>
      <c r="E76" s="373">
        <f t="shared" si="13"/>
        <v>0</v>
      </c>
      <c r="F76" s="373">
        <f t="shared" si="14"/>
        <v>-1.7811420170964149E-14</v>
      </c>
      <c r="G76" s="373">
        <f t="shared" si="10"/>
        <v>-1.7811420170964149E-14</v>
      </c>
      <c r="H76" s="373">
        <f t="shared" si="9"/>
        <v>-1.0822128711471888E-14</v>
      </c>
      <c r="O76" s="325"/>
      <c r="P76" s="325"/>
      <c r="Q76" s="325"/>
    </row>
    <row r="77" spans="1:17" s="31" customFormat="1" ht="15" customHeight="1" x14ac:dyDescent="0.2">
      <c r="A77" s="395">
        <f>B50</f>
        <v>2032</v>
      </c>
      <c r="B77" s="410">
        <f>C50</f>
        <v>0</v>
      </c>
      <c r="C77" s="373">
        <f t="shared" si="12"/>
        <v>-1.8595122658486572E-14</v>
      </c>
      <c r="D77" s="373"/>
      <c r="E77" s="373">
        <f t="shared" si="13"/>
        <v>0</v>
      </c>
      <c r="F77" s="373">
        <f t="shared" si="14"/>
        <v>-1.8595122658486572E-14</v>
      </c>
      <c r="G77" s="373">
        <f t="shared" si="10"/>
        <v>-1.8595122658486572E-14</v>
      </c>
      <c r="H77" s="373">
        <f t="shared" si="9"/>
        <v>-1.1298302374776652E-14</v>
      </c>
      <c r="O77" s="325"/>
      <c r="P77" s="325"/>
      <c r="Q77" s="325"/>
    </row>
    <row r="78" spans="1:17" s="31" customFormat="1" ht="15" customHeight="1" x14ac:dyDescent="0.2">
      <c r="A78" s="395">
        <f>B51</f>
        <v>2033</v>
      </c>
      <c r="B78" s="410">
        <f>C51</f>
        <v>0</v>
      </c>
      <c r="C78" s="373">
        <f t="shared" si="12"/>
        <v>-1.941330805545998E-14</v>
      </c>
      <c r="D78" s="373"/>
      <c r="E78" s="373">
        <f t="shared" si="13"/>
        <v>0</v>
      </c>
      <c r="F78" s="373">
        <f t="shared" si="14"/>
        <v>-1.941330805545998E-14</v>
      </c>
      <c r="G78" s="373">
        <f t="shared" si="10"/>
        <v>-1.941330805545998E-14</v>
      </c>
      <c r="H78" s="373">
        <f t="shared" si="9"/>
        <v>-1.1795427679266824E-14</v>
      </c>
      <c r="O78" s="325"/>
      <c r="P78" s="325"/>
      <c r="Q78" s="325"/>
    </row>
    <row r="79" spans="1:17" s="31" customFormat="1" ht="15" customHeight="1" thickBot="1" x14ac:dyDescent="0.25">
      <c r="A79" s="372" t="s">
        <v>441</v>
      </c>
      <c r="B79" s="412">
        <f>SUM(B59:B78)</f>
        <v>1995</v>
      </c>
      <c r="C79" s="412">
        <f>SUM(C59:C78)</f>
        <v>429.63843004548443</v>
      </c>
      <c r="D79" s="412"/>
      <c r="E79" s="412">
        <f>SUM(E59:E78)</f>
        <v>1565.3615699545153</v>
      </c>
      <c r="F79" s="412">
        <f>SUM(F59:F78)</f>
        <v>1994.9999999999998</v>
      </c>
      <c r="G79" s="412">
        <f>SUM(G59:G78)</f>
        <v>-2.0482946989682356E-13</v>
      </c>
      <c r="H79" s="412">
        <f>SUM(H59:H78)</f>
        <v>-1.2011364158282634E-13</v>
      </c>
      <c r="O79" s="325"/>
      <c r="P79" s="325"/>
      <c r="Q79" s="325"/>
    </row>
    <row r="80" spans="1:17" s="31" customFormat="1" ht="15" customHeight="1" x14ac:dyDescent="0.2">
      <c r="O80" s="325"/>
      <c r="P80" s="325"/>
      <c r="Q80" s="325"/>
    </row>
    <row r="81" spans="1:17" s="31" customFormat="1" ht="15" customHeight="1" x14ac:dyDescent="0.2">
      <c r="A81" s="1103" t="s">
        <v>469</v>
      </c>
      <c r="B81" s="1112"/>
      <c r="C81" s="1112"/>
      <c r="D81" s="1112"/>
      <c r="E81" s="1105">
        <f>C10</f>
        <v>2013</v>
      </c>
      <c r="F81" s="1112"/>
      <c r="G81" s="1106" t="s">
        <v>117</v>
      </c>
      <c r="H81" s="1106" t="s">
        <v>118</v>
      </c>
      <c r="I81" s="110"/>
      <c r="O81" s="325"/>
      <c r="P81" s="325"/>
      <c r="Q81" s="325"/>
    </row>
    <row r="82" spans="1:17" s="31" customFormat="1" ht="15" customHeight="1" x14ac:dyDescent="0.2">
      <c r="A82" s="325" t="s">
        <v>470</v>
      </c>
      <c r="B82" s="110"/>
      <c r="C82" s="110"/>
      <c r="D82" s="110"/>
      <c r="E82" s="110"/>
      <c r="F82" s="110"/>
      <c r="G82" s="381">
        <f>ROUND(J31,0)</f>
        <v>1565</v>
      </c>
      <c r="H82" s="381"/>
      <c r="I82" s="110"/>
      <c r="O82" s="325"/>
      <c r="P82" s="325"/>
      <c r="Q82" s="325"/>
    </row>
    <row r="83" spans="1:17" s="31" customFormat="1" ht="15" customHeight="1" x14ac:dyDescent="0.2">
      <c r="A83" s="325" t="s">
        <v>471</v>
      </c>
      <c r="B83" s="110"/>
      <c r="C83" s="110"/>
      <c r="D83" s="110"/>
      <c r="E83" s="110"/>
      <c r="F83" s="110"/>
      <c r="G83" s="381"/>
      <c r="H83" s="381">
        <f>ROUND(H32,0)</f>
        <v>108</v>
      </c>
      <c r="I83" s="110"/>
      <c r="O83" s="325"/>
      <c r="P83" s="325"/>
      <c r="Q83" s="325"/>
    </row>
    <row r="84" spans="1:17" s="31" customFormat="1" ht="15" customHeight="1" x14ac:dyDescent="0.2">
      <c r="A84" s="325" t="s">
        <v>472</v>
      </c>
      <c r="B84" s="110"/>
      <c r="C84" s="110"/>
      <c r="D84" s="110"/>
      <c r="E84" s="110"/>
      <c r="F84" s="110"/>
      <c r="G84" s="408"/>
      <c r="H84" s="75">
        <f>ROUND(I31,0)-ROUND(H32,0)</f>
        <v>1457</v>
      </c>
      <c r="I84" s="110"/>
      <c r="O84" s="325"/>
      <c r="P84" s="325"/>
      <c r="Q84" s="325"/>
    </row>
    <row r="85" spans="1:17" s="31" customFormat="1" ht="15" customHeight="1" thickBot="1" x14ac:dyDescent="0.25">
      <c r="A85" s="1107" t="s">
        <v>468</v>
      </c>
      <c r="B85" s="1104"/>
      <c r="C85" s="1104"/>
      <c r="D85" s="1104"/>
      <c r="E85" s="1104"/>
      <c r="F85" s="1104"/>
      <c r="G85" s="1108">
        <f>SUM(G82:G84)</f>
        <v>1565</v>
      </c>
      <c r="H85" s="1108">
        <f>SUM(H82:H84)</f>
        <v>1565</v>
      </c>
      <c r="I85" s="110"/>
      <c r="O85" s="325"/>
      <c r="P85" s="325"/>
      <c r="Q85" s="325"/>
    </row>
    <row r="90" spans="1:17" s="31" customFormat="1" ht="16.5" customHeight="1" x14ac:dyDescent="0.2">
      <c r="B90" s="110"/>
      <c r="C90" s="110"/>
      <c r="D90" s="110"/>
      <c r="E90" s="110"/>
      <c r="F90" s="110"/>
      <c r="G90" s="111"/>
      <c r="H90" s="111"/>
      <c r="I90" s="110"/>
      <c r="O90" s="325"/>
      <c r="P90" s="325"/>
      <c r="Q90" s="325"/>
    </row>
    <row r="93" spans="1:17" s="31" customFormat="1" ht="16.5" customHeight="1" x14ac:dyDescent="0.2">
      <c r="A93" s="1103" t="s">
        <v>473</v>
      </c>
      <c r="B93" s="1104"/>
      <c r="C93" s="1104"/>
      <c r="D93" s="1104"/>
      <c r="E93" s="1105">
        <f>J7</f>
        <v>2014</v>
      </c>
      <c r="F93" s="1104"/>
      <c r="G93" s="1106" t="s">
        <v>117</v>
      </c>
      <c r="H93" s="1106" t="s">
        <v>118</v>
      </c>
      <c r="I93" s="1106" t="s">
        <v>462</v>
      </c>
      <c r="O93" s="325"/>
      <c r="P93" s="325"/>
      <c r="Q93" s="325"/>
    </row>
    <row r="94" spans="1:17" s="31" customFormat="1" ht="16.5" customHeight="1" x14ac:dyDescent="0.2">
      <c r="A94" s="325" t="s">
        <v>559</v>
      </c>
      <c r="B94" s="110"/>
      <c r="C94" s="110"/>
      <c r="D94" s="110"/>
      <c r="E94" s="110"/>
      <c r="F94" s="110"/>
      <c r="G94" s="120">
        <f>ROUND(C59,0)</f>
        <v>69</v>
      </c>
      <c r="I94" s="1109">
        <f>-G94</f>
        <v>-69</v>
      </c>
      <c r="O94" s="325"/>
      <c r="P94" s="325"/>
      <c r="Q94" s="325"/>
    </row>
    <row r="95" spans="1:17" s="31" customFormat="1" ht="16.5" customHeight="1" x14ac:dyDescent="0.2">
      <c r="A95" s="325" t="s">
        <v>476</v>
      </c>
      <c r="B95" s="110"/>
      <c r="C95" s="110"/>
      <c r="D95" s="110"/>
      <c r="E95" s="110"/>
      <c r="F95" s="110"/>
      <c r="G95" s="31">
        <f>ROUND(E59,0)</f>
        <v>142</v>
      </c>
      <c r="I95" s="1110">
        <f>-G95</f>
        <v>-142</v>
      </c>
      <c r="O95" s="325"/>
      <c r="P95" s="325"/>
      <c r="Q95" s="325"/>
    </row>
    <row r="96" spans="1:17" s="31" customFormat="1" ht="16.5" customHeight="1" x14ac:dyDescent="0.2">
      <c r="A96" s="325" t="s">
        <v>1017</v>
      </c>
      <c r="B96" s="110"/>
      <c r="C96" s="110"/>
      <c r="D96" s="110"/>
      <c r="E96" s="110"/>
      <c r="F96" s="110"/>
      <c r="G96" s="31" t="str">
        <f>IF(G94+G95-H97&lt;0,-(-ROUND(B59,0)+ROUND(C59,0)+ROUND(E59,0)-(ROUND(G59,0)-ROUND(H59,0)))," ")</f>
        <v xml:space="preserve"> </v>
      </c>
      <c r="H96" s="31">
        <f>IF(G94+G95-H97&gt;0,-ROUND(B59,0)+ROUND(C59,0)+ROUND(E59,0)-(ROUND(G59,0)-ROUND(H59,0))," ")</f>
        <v>21</v>
      </c>
      <c r="I96" s="1111" t="s">
        <v>119</v>
      </c>
      <c r="O96" s="325"/>
      <c r="P96" s="325"/>
      <c r="Q96" s="325"/>
    </row>
    <row r="97" spans="1:17" s="31" customFormat="1" ht="16.5" customHeight="1" x14ac:dyDescent="0.2">
      <c r="A97" s="325" t="s">
        <v>477</v>
      </c>
      <c r="B97" s="110"/>
      <c r="C97" s="110"/>
      <c r="D97" s="110"/>
      <c r="E97" s="110"/>
      <c r="F97" s="110"/>
      <c r="H97" s="31">
        <f>ROUND(B59,0)</f>
        <v>177</v>
      </c>
      <c r="I97" s="1110">
        <f>H97</f>
        <v>177</v>
      </c>
      <c r="O97" s="325"/>
      <c r="P97" s="325"/>
      <c r="Q97" s="325"/>
    </row>
    <row r="98" spans="1:17" s="31" customFormat="1" ht="16.5" customHeight="1" x14ac:dyDescent="0.2">
      <c r="A98" s="325" t="s">
        <v>1018</v>
      </c>
      <c r="B98" s="110"/>
      <c r="C98" s="110"/>
      <c r="D98" s="110"/>
      <c r="E98" s="110"/>
      <c r="F98" s="110"/>
      <c r="G98" s="31">
        <f>IF(G94+G95-H97&lt;0,-(ROUND(G59,0)-ROUND(H59,0)),0)</f>
        <v>0</v>
      </c>
      <c r="H98" s="31">
        <f>IF(G94+G95-H97&gt;0,ROUND(G59,0)-ROUND(H59,0),0)</f>
        <v>13</v>
      </c>
      <c r="I98" s="1110">
        <f>IF(G98=" ",H98,-G98)</f>
        <v>0</v>
      </c>
      <c r="O98" s="325"/>
      <c r="P98" s="325"/>
      <c r="Q98" s="325"/>
    </row>
    <row r="99" spans="1:17" ht="16.5" customHeight="1" thickBot="1" x14ac:dyDescent="0.25">
      <c r="A99" s="1107" t="s">
        <v>468</v>
      </c>
      <c r="B99" s="1104"/>
      <c r="C99" s="1104"/>
      <c r="D99" s="1104"/>
      <c r="E99" s="1104"/>
      <c r="F99" s="1104"/>
      <c r="G99" s="1108">
        <f>SUM(G94:G98)</f>
        <v>211</v>
      </c>
      <c r="H99" s="1108">
        <f>SUM(H94:H98)</f>
        <v>211</v>
      </c>
      <c r="I99" s="1108">
        <f>SUM(I94:I98)</f>
        <v>-34</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drawing r:id="rId2"/>
  <legacyDrawing r:id="rId3"/>
  <extLst>
    <ext xmlns:mx="http://schemas.microsoft.com/office/mac/excel/2008/main" uri="http://schemas.microsoft.com/office/mac/excel/2008/main">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8000"/>
  </sheetPr>
  <dimension ref="A1:Z107"/>
  <sheetViews>
    <sheetView view="pageBreakPreview" topLeftCell="A72" zoomScaleSheetLayoutView="100" workbookViewId="0">
      <selection activeCell="J12" sqref="J12"/>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26" s="575" customFormat="1" ht="15" customHeight="1" x14ac:dyDescent="0.2">
      <c r="A1" s="572" t="s">
        <v>363</v>
      </c>
      <c r="B1" s="572"/>
      <c r="C1" s="572"/>
      <c r="D1" s="573"/>
      <c r="E1" s="573"/>
      <c r="F1" s="574"/>
      <c r="G1" s="574"/>
      <c r="H1" s="574"/>
      <c r="I1" s="574"/>
      <c r="J1" s="574"/>
      <c r="K1" s="574"/>
      <c r="L1" s="574" t="s">
        <v>1075</v>
      </c>
      <c r="M1" s="574" t="s">
        <v>1075</v>
      </c>
      <c r="N1" s="574" t="s">
        <v>1075</v>
      </c>
      <c r="O1" s="574" t="s">
        <v>1075</v>
      </c>
      <c r="P1" s="574" t="s">
        <v>1075</v>
      </c>
      <c r="Q1" s="574" t="s">
        <v>1075</v>
      </c>
      <c r="R1" s="574" t="s">
        <v>1075</v>
      </c>
      <c r="S1" s="574" t="s">
        <v>1075</v>
      </c>
      <c r="T1" s="574" t="s">
        <v>1075</v>
      </c>
      <c r="U1" s="574" t="s">
        <v>1075</v>
      </c>
      <c r="V1" s="574" t="s">
        <v>1075</v>
      </c>
      <c r="W1" s="574" t="s">
        <v>1075</v>
      </c>
      <c r="X1" s="574" t="s">
        <v>1075</v>
      </c>
      <c r="Y1" s="574" t="s">
        <v>1075</v>
      </c>
      <c r="Z1" s="574" t="s">
        <v>1075</v>
      </c>
    </row>
    <row r="2" spans="1:26" ht="15" customHeight="1" x14ac:dyDescent="0.2">
      <c r="A2" s="392"/>
      <c r="B2" s="347"/>
      <c r="C2" s="347"/>
      <c r="D2" s="348"/>
      <c r="E2" s="348"/>
      <c r="J2" s="39"/>
    </row>
    <row r="3" spans="1:26" ht="15" customHeight="1" x14ac:dyDescent="0.2">
      <c r="A3" s="392"/>
      <c r="B3" s="347"/>
      <c r="C3" s="347"/>
      <c r="D3" s="348"/>
      <c r="E3" s="348"/>
      <c r="J3" s="39"/>
    </row>
    <row r="4" spans="1:26" ht="15" customHeight="1" x14ac:dyDescent="0.2">
      <c r="A4" s="347"/>
      <c r="B4" s="347"/>
      <c r="C4" s="347"/>
      <c r="D4" s="348"/>
      <c r="E4" s="348"/>
      <c r="J4" s="39"/>
    </row>
    <row r="5" spans="1:26" ht="15" customHeight="1" x14ac:dyDescent="0.2">
      <c r="A5" s="347"/>
      <c r="B5" s="347"/>
      <c r="C5" s="347"/>
      <c r="D5" s="348"/>
      <c r="E5" s="348"/>
      <c r="J5" s="39"/>
    </row>
    <row r="6" spans="1:26" ht="15" customHeight="1" x14ac:dyDescent="0.2">
      <c r="J6" s="39"/>
      <c r="L6" s="325"/>
      <c r="M6" s="325"/>
      <c r="N6" s="325"/>
    </row>
    <row r="7" spans="1:26" ht="15" customHeight="1" x14ac:dyDescent="0.2">
      <c r="A7" s="543" t="s">
        <v>611</v>
      </c>
      <c r="G7" s="31" t="s">
        <v>304</v>
      </c>
      <c r="J7" s="380">
        <f>C10+1</f>
        <v>2015</v>
      </c>
      <c r="L7" s="325"/>
      <c r="M7" s="325"/>
      <c r="N7" s="325"/>
    </row>
    <row r="8" spans="1:26" ht="15" customHeight="1" x14ac:dyDescent="0.2">
      <c r="G8" s="31" t="s">
        <v>33</v>
      </c>
      <c r="J8" s="381">
        <f>'IS Analysis Adjustments'!AP26</f>
        <v>976</v>
      </c>
      <c r="L8" s="325"/>
      <c r="M8" s="325"/>
      <c r="N8" s="325"/>
    </row>
    <row r="9" spans="1:26" ht="15" customHeight="1" x14ac:dyDescent="0.2">
      <c r="C9" s="39"/>
      <c r="D9" s="36"/>
      <c r="E9" s="36"/>
      <c r="F9" s="39"/>
      <c r="G9" s="31" t="s">
        <v>1070</v>
      </c>
      <c r="J9" s="381">
        <f>'IS Analysis Adjustments'!AP27</f>
        <v>376</v>
      </c>
      <c r="L9" s="325"/>
      <c r="M9" s="325"/>
      <c r="N9" s="325"/>
    </row>
    <row r="10" spans="1:26" ht="15" customHeight="1" x14ac:dyDescent="0.2">
      <c r="A10" s="31" t="s">
        <v>463</v>
      </c>
      <c r="B10" s="39"/>
      <c r="C10" s="576">
        <f>'IS Analysis Adjustments'!AF1</f>
        <v>2014</v>
      </c>
      <c r="G10" s="39" t="s">
        <v>337</v>
      </c>
      <c r="H10" s="39"/>
      <c r="I10" s="39"/>
      <c r="J10" s="44">
        <f>J9/J8</f>
        <v>0.38524590163934425</v>
      </c>
      <c r="L10" s="325"/>
      <c r="M10" s="325"/>
      <c r="N10" s="325"/>
    </row>
    <row r="11" spans="1:26" ht="15" customHeight="1" x14ac:dyDescent="0.2">
      <c r="C11" s="36"/>
      <c r="D11" s="36"/>
      <c r="E11" s="36"/>
      <c r="F11" s="36"/>
      <c r="G11" s="39" t="s">
        <v>305</v>
      </c>
      <c r="H11" s="39"/>
      <c r="I11" s="39"/>
      <c r="J11" s="379">
        <v>4.3999999999999997E-2</v>
      </c>
      <c r="L11" s="325"/>
      <c r="M11" s="325"/>
      <c r="N11" s="325"/>
    </row>
    <row r="12" spans="1:26" ht="15" customHeight="1" x14ac:dyDescent="0.2">
      <c r="B12" s="347"/>
      <c r="C12" s="378" t="s">
        <v>306</v>
      </c>
      <c r="D12" s="378"/>
      <c r="E12" s="378"/>
      <c r="F12" s="378"/>
    </row>
    <row r="13" spans="1:26" ht="15" customHeight="1" x14ac:dyDescent="0.2">
      <c r="B13" s="351" t="s">
        <v>63</v>
      </c>
      <c r="C13" s="350" t="s">
        <v>110</v>
      </c>
      <c r="D13" s="350"/>
      <c r="E13" s="383" t="s">
        <v>307</v>
      </c>
      <c r="F13" s="383" t="s">
        <v>45</v>
      </c>
      <c r="I13" s="216"/>
    </row>
    <row r="14" spans="1:26" ht="15" customHeight="1" x14ac:dyDescent="0.2">
      <c r="A14" s="352">
        <v>1</v>
      </c>
      <c r="B14" s="382">
        <f>C10+1</f>
        <v>2015</v>
      </c>
      <c r="C14" s="1251">
        <v>210</v>
      </c>
      <c r="D14" s="66"/>
      <c r="E14" s="384" t="s">
        <v>464</v>
      </c>
      <c r="F14" s="384" t="s">
        <v>464</v>
      </c>
    </row>
    <row r="15" spans="1:26" ht="15" customHeight="1" x14ac:dyDescent="0.2">
      <c r="A15" s="352">
        <v>2</v>
      </c>
      <c r="B15" s="382">
        <f>B14+1</f>
        <v>2016</v>
      </c>
      <c r="C15" s="1252">
        <v>231</v>
      </c>
      <c r="D15" s="32"/>
      <c r="E15" s="270"/>
      <c r="F15" s="270"/>
    </row>
    <row r="16" spans="1:26" ht="15" customHeight="1" x14ac:dyDescent="0.2">
      <c r="A16" s="352">
        <v>3</v>
      </c>
      <c r="B16" s="382">
        <f>B15+1</f>
        <v>2017</v>
      </c>
      <c r="C16" s="1252">
        <v>229</v>
      </c>
      <c r="D16" s="32"/>
      <c r="E16" s="270"/>
      <c r="F16" s="270"/>
    </row>
    <row r="17" spans="1:14" ht="15" customHeight="1" x14ac:dyDescent="0.2">
      <c r="A17" s="352">
        <v>4</v>
      </c>
      <c r="B17" s="382">
        <f>B16+1</f>
        <v>2018</v>
      </c>
      <c r="C17" s="1252">
        <v>227</v>
      </c>
      <c r="D17" s="32"/>
      <c r="E17" s="270"/>
      <c r="F17" s="270"/>
    </row>
    <row r="18" spans="1:14" ht="15" customHeight="1" x14ac:dyDescent="0.2">
      <c r="A18" s="352">
        <v>5</v>
      </c>
      <c r="B18" s="382">
        <f>B17+1</f>
        <v>2019</v>
      </c>
      <c r="C18" s="1252">
        <v>219</v>
      </c>
      <c r="D18" s="353" t="s">
        <v>156</v>
      </c>
      <c r="E18" s="270"/>
      <c r="F18" s="270"/>
    </row>
    <row r="19" spans="1:14" ht="15" customHeight="1" x14ac:dyDescent="0.2">
      <c r="A19" s="354"/>
      <c r="B19" s="355" t="s">
        <v>112</v>
      </c>
      <c r="C19" s="1253">
        <v>1202</v>
      </c>
      <c r="D19" s="356" t="s">
        <v>155</v>
      </c>
      <c r="E19" s="270"/>
      <c r="F19" s="270"/>
    </row>
    <row r="20" spans="1:14" ht="15" customHeight="1" thickBot="1" x14ac:dyDescent="0.25">
      <c r="B20" s="352" t="s">
        <v>45</v>
      </c>
      <c r="C20" s="237">
        <f>SUM(C14:C19)</f>
        <v>2318</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6</v>
      </c>
    </row>
    <row r="23" spans="1:14" ht="15" customHeight="1" x14ac:dyDescent="0.2">
      <c r="A23" s="112" t="s">
        <v>466</v>
      </c>
      <c r="F23" s="358">
        <f>IF(A18+F22&gt;20,20,A18+F22)</f>
        <v>11</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ht="15" customHeight="1" x14ac:dyDescent="0.2">
      <c r="A28" s="1086" t="s">
        <v>423</v>
      </c>
      <c r="B28" s="1086" t="s">
        <v>424</v>
      </c>
      <c r="C28" s="1086"/>
      <c r="D28" s="1087"/>
      <c r="E28" s="1088"/>
      <c r="F28" s="1086" t="s">
        <v>425</v>
      </c>
      <c r="G28" s="1086"/>
      <c r="H28" s="1086" t="s">
        <v>426</v>
      </c>
      <c r="I28" s="1086"/>
      <c r="J28" s="1086" t="s">
        <v>427</v>
      </c>
      <c r="K28" s="1086" t="s">
        <v>428</v>
      </c>
      <c r="L28" s="325"/>
      <c r="M28" s="325"/>
      <c r="N28" s="325"/>
    </row>
    <row r="29" spans="1:14" ht="15" customHeight="1" x14ac:dyDescent="0.2">
      <c r="A29" s="1089" t="s">
        <v>429</v>
      </c>
      <c r="B29" s="1089" t="s">
        <v>430</v>
      </c>
      <c r="C29" s="1089"/>
      <c r="D29" s="1090"/>
      <c r="E29" s="1091"/>
      <c r="F29" s="1089" t="s">
        <v>431</v>
      </c>
      <c r="G29" s="1089" t="s">
        <v>432</v>
      </c>
      <c r="H29" s="1089" t="s">
        <v>433</v>
      </c>
      <c r="I29" s="1089" t="s">
        <v>114</v>
      </c>
      <c r="J29" s="1089" t="s">
        <v>434</v>
      </c>
      <c r="K29" s="1089" t="s">
        <v>435</v>
      </c>
      <c r="L29" s="325"/>
      <c r="M29" s="325"/>
      <c r="N29" s="325"/>
    </row>
    <row r="30" spans="1:14"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c r="L30" s="325"/>
      <c r="M30" s="325"/>
      <c r="N30" s="325"/>
    </row>
    <row r="31" spans="1:14" ht="15" customHeight="1" x14ac:dyDescent="0.2">
      <c r="A31" s="130">
        <v>0</v>
      </c>
      <c r="B31" s="386">
        <f>C10</f>
        <v>2014</v>
      </c>
      <c r="C31" s="111"/>
      <c r="D31" s="33"/>
      <c r="F31" s="33"/>
      <c r="G31" s="33"/>
      <c r="H31" s="365"/>
      <c r="I31" s="393">
        <f>F52</f>
        <v>1825.9799389365003</v>
      </c>
      <c r="J31" s="393">
        <f>I31</f>
        <v>1825.9799389365003</v>
      </c>
      <c r="K31" s="365"/>
      <c r="L31" s="325"/>
      <c r="M31" s="325"/>
      <c r="N31" s="325"/>
    </row>
    <row r="32" spans="1:14" ht="15" customHeight="1" x14ac:dyDescent="0.2">
      <c r="A32" s="1152">
        <v>1</v>
      </c>
      <c r="B32" s="855">
        <f t="shared" ref="B32:C36" si="0">B14</f>
        <v>2015</v>
      </c>
      <c r="C32" s="1151">
        <f t="shared" si="0"/>
        <v>210</v>
      </c>
      <c r="D32" s="365"/>
      <c r="E32" s="366">
        <f t="shared" ref="E32:E51" si="1">1/(1+J$11)^A32</f>
        <v>0.95785440613026818</v>
      </c>
      <c r="F32" s="388">
        <f>C32*E32</f>
        <v>201.14942528735631</v>
      </c>
      <c r="G32" s="389">
        <f>I31*J$11</f>
        <v>80.343117313206008</v>
      </c>
      <c r="H32" s="390">
        <f>C32-G32</f>
        <v>129.65688268679401</v>
      </c>
      <c r="I32" s="347">
        <f>I31-H32</f>
        <v>1696.3230562497063</v>
      </c>
      <c r="J32" s="365">
        <f>J31-K32</f>
        <v>1659.9817626695458</v>
      </c>
      <c r="K32" s="391">
        <f>IF(A32&gt;F$23,0,I$31/F$23)</f>
        <v>165.99817626695457</v>
      </c>
      <c r="L32" s="365"/>
      <c r="M32" s="365"/>
      <c r="N32" s="365"/>
    </row>
    <row r="33" spans="1:17" ht="15" customHeight="1" x14ac:dyDescent="0.2">
      <c r="A33" s="93">
        <v>2</v>
      </c>
      <c r="B33" s="855">
        <f t="shared" si="0"/>
        <v>2016</v>
      </c>
      <c r="C33" s="32">
        <f t="shared" si="0"/>
        <v>231</v>
      </c>
      <c r="E33" s="366">
        <f t="shared" si="1"/>
        <v>0.91748506334316871</v>
      </c>
      <c r="F33" s="365">
        <f>C33*E33</f>
        <v>211.93904963227197</v>
      </c>
      <c r="G33" s="372">
        <f>I32*J$11</f>
        <v>74.638214474987066</v>
      </c>
      <c r="H33" s="373">
        <f>C33-G33</f>
        <v>156.36178552501292</v>
      </c>
      <c r="I33" s="373">
        <f>I32-H33</f>
        <v>1539.9612707246933</v>
      </c>
      <c r="J33" s="365">
        <f t="shared" ref="J33:J51" si="2">J32-K33</f>
        <v>1493.9835864025913</v>
      </c>
      <c r="K33" s="373">
        <f>IF(A33&gt;F$23,0,I$31/F$23)</f>
        <v>165.99817626695457</v>
      </c>
    </row>
    <row r="34" spans="1:17" ht="15" customHeight="1" x14ac:dyDescent="0.2">
      <c r="A34" s="93">
        <v>3</v>
      </c>
      <c r="B34" s="855">
        <f t="shared" si="0"/>
        <v>2017</v>
      </c>
      <c r="C34" s="32">
        <f t="shared" si="0"/>
        <v>229</v>
      </c>
      <c r="E34" s="366">
        <f t="shared" si="1"/>
        <v>0.87881711048196232</v>
      </c>
      <c r="F34" s="365">
        <f t="shared" ref="F34:F51" si="3">C34*E34</f>
        <v>201.24911830036936</v>
      </c>
      <c r="G34" s="372">
        <f t="shared" ref="G34:G51" si="4">I33*J$11</f>
        <v>67.758295911886506</v>
      </c>
      <c r="H34" s="373">
        <f t="shared" ref="H34:H51" si="5">C34-G34</f>
        <v>161.24170408811349</v>
      </c>
      <c r="I34" s="373">
        <f t="shared" ref="I34:I51" si="6">I33-H34</f>
        <v>1378.7195666365799</v>
      </c>
      <c r="J34" s="365">
        <f t="shared" si="2"/>
        <v>1327.9854101356368</v>
      </c>
      <c r="K34" s="373">
        <f t="shared" ref="K34:K51" si="7">IF(A34&gt;F$23,0,I$31/F$23)</f>
        <v>165.99817626695457</v>
      </c>
    </row>
    <row r="35" spans="1:17" s="31" customFormat="1" ht="15" customHeight="1" x14ac:dyDescent="0.2">
      <c r="A35" s="93">
        <v>4</v>
      </c>
      <c r="B35" s="855">
        <f t="shared" si="0"/>
        <v>2018</v>
      </c>
      <c r="C35" s="32">
        <f t="shared" si="0"/>
        <v>227</v>
      </c>
      <c r="E35" s="366">
        <f t="shared" si="1"/>
        <v>0.84177884145781834</v>
      </c>
      <c r="F35" s="365">
        <f t="shared" si="3"/>
        <v>191.08379701092477</v>
      </c>
      <c r="G35" s="372">
        <f t="shared" si="4"/>
        <v>60.663660932009513</v>
      </c>
      <c r="H35" s="373">
        <f t="shared" si="5"/>
        <v>166.33633906799048</v>
      </c>
      <c r="I35" s="373">
        <f t="shared" si="6"/>
        <v>1212.3832275685895</v>
      </c>
      <c r="J35" s="365">
        <f t="shared" si="2"/>
        <v>1161.9872338686823</v>
      </c>
      <c r="K35" s="373">
        <f t="shared" si="7"/>
        <v>165.99817626695457</v>
      </c>
      <c r="O35" s="325"/>
      <c r="P35" s="325"/>
      <c r="Q35" s="325"/>
    </row>
    <row r="36" spans="1:17" s="31" customFormat="1" ht="15" customHeight="1" x14ac:dyDescent="0.2">
      <c r="A36" s="93">
        <v>5</v>
      </c>
      <c r="B36" s="855">
        <f t="shared" si="0"/>
        <v>2019</v>
      </c>
      <c r="C36" s="32">
        <f t="shared" si="0"/>
        <v>219</v>
      </c>
      <c r="E36" s="366">
        <f t="shared" si="1"/>
        <v>0.8063015722776038</v>
      </c>
      <c r="F36" s="365">
        <f t="shared" si="3"/>
        <v>176.58004432879522</v>
      </c>
      <c r="G36" s="372">
        <f t="shared" si="4"/>
        <v>53.344862013017938</v>
      </c>
      <c r="H36" s="373">
        <f t="shared" si="5"/>
        <v>165.65513798698206</v>
      </c>
      <c r="I36" s="373">
        <f t="shared" si="6"/>
        <v>1046.7280895816075</v>
      </c>
      <c r="J36" s="365">
        <f t="shared" si="2"/>
        <v>995.98905760172772</v>
      </c>
      <c r="K36" s="373">
        <f t="shared" si="7"/>
        <v>165.99817626695457</v>
      </c>
      <c r="O36" s="325"/>
      <c r="P36" s="325"/>
      <c r="Q36" s="325"/>
    </row>
    <row r="37" spans="1:17" s="31" customFormat="1" ht="15" customHeight="1" x14ac:dyDescent="0.2">
      <c r="A37" s="93">
        <f t="shared" ref="A37:B51" si="8">A36+1</f>
        <v>6</v>
      </c>
      <c r="B37" s="855">
        <f>B36+1</f>
        <v>2020</v>
      </c>
      <c r="C37" s="1153">
        <f>IF(A37&gt;F$23,0,IF(A37=F$23,C$20-SUM(C$32:C36),C$18))</f>
        <v>219</v>
      </c>
      <c r="E37" s="366">
        <f t="shared" si="1"/>
        <v>0.7723195136758656</v>
      </c>
      <c r="F37" s="365">
        <f t="shared" si="3"/>
        <v>169.13797349501456</v>
      </c>
      <c r="G37" s="372">
        <f t="shared" si="4"/>
        <v>46.056035941590729</v>
      </c>
      <c r="H37" s="373">
        <f t="shared" si="5"/>
        <v>172.94396405840928</v>
      </c>
      <c r="I37" s="373">
        <f t="shared" si="6"/>
        <v>873.78412552319821</v>
      </c>
      <c r="J37" s="365">
        <f t="shared" si="2"/>
        <v>829.99088133477312</v>
      </c>
      <c r="K37" s="373">
        <f t="shared" si="7"/>
        <v>165.99817626695457</v>
      </c>
      <c r="O37" s="325"/>
      <c r="P37" s="325"/>
      <c r="Q37" s="325"/>
    </row>
    <row r="38" spans="1:17" s="31" customFormat="1" ht="15" customHeight="1" x14ac:dyDescent="0.2">
      <c r="A38" s="93">
        <f t="shared" si="8"/>
        <v>7</v>
      </c>
      <c r="B38" s="855">
        <f t="shared" si="8"/>
        <v>2021</v>
      </c>
      <c r="C38" s="1153">
        <f>IF(A38&gt;F$23,0,IF(A38=F$23,C$20-SUM(C$32:C37),C$18))</f>
        <v>219</v>
      </c>
      <c r="E38" s="366">
        <f t="shared" si="1"/>
        <v>0.7397696491148138</v>
      </c>
      <c r="F38" s="365">
        <f t="shared" si="3"/>
        <v>162.00955315614422</v>
      </c>
      <c r="G38" s="372">
        <f t="shared" si="4"/>
        <v>38.446501523020721</v>
      </c>
      <c r="H38" s="373">
        <f t="shared" si="5"/>
        <v>180.55349847697929</v>
      </c>
      <c r="I38" s="373">
        <f t="shared" si="6"/>
        <v>693.23062704621896</v>
      </c>
      <c r="J38" s="365">
        <f t="shared" si="2"/>
        <v>663.99270506781852</v>
      </c>
      <c r="K38" s="373">
        <f t="shared" si="7"/>
        <v>165.99817626695457</v>
      </c>
      <c r="O38" s="325"/>
      <c r="P38" s="325"/>
      <c r="Q38" s="325"/>
    </row>
    <row r="39" spans="1:17" s="31" customFormat="1" ht="15" customHeight="1" x14ac:dyDescent="0.2">
      <c r="A39" s="93">
        <f t="shared" si="8"/>
        <v>8</v>
      </c>
      <c r="B39" s="855">
        <f t="shared" si="8"/>
        <v>2022</v>
      </c>
      <c r="C39" s="1153">
        <f>IF(A39&gt;F$23,0,IF(A39=F$23,C$20-SUM(C$32:C38),C$18))</f>
        <v>219</v>
      </c>
      <c r="E39" s="366">
        <f t="shared" si="1"/>
        <v>0.70859161792606684</v>
      </c>
      <c r="F39" s="365">
        <f t="shared" si="3"/>
        <v>155.18156432580864</v>
      </c>
      <c r="G39" s="372">
        <f t="shared" si="4"/>
        <v>30.502147590033633</v>
      </c>
      <c r="H39" s="373">
        <f t="shared" si="5"/>
        <v>188.49785240996636</v>
      </c>
      <c r="I39" s="373">
        <f t="shared" si="6"/>
        <v>504.7327746362526</v>
      </c>
      <c r="J39" s="365">
        <f t="shared" si="2"/>
        <v>497.99452880086392</v>
      </c>
      <c r="K39" s="373">
        <f t="shared" si="7"/>
        <v>165.99817626695457</v>
      </c>
      <c r="O39" s="325"/>
      <c r="P39" s="325"/>
      <c r="Q39" s="325"/>
    </row>
    <row r="40" spans="1:17" s="31" customFormat="1" ht="15" customHeight="1" x14ac:dyDescent="0.2">
      <c r="A40" s="93">
        <f t="shared" si="8"/>
        <v>9</v>
      </c>
      <c r="B40" s="855">
        <f t="shared" si="8"/>
        <v>2023</v>
      </c>
      <c r="C40" s="1153">
        <f>IF(A40&gt;F$23,0,IF(A40=F$23,C$20-SUM(C$32:C39),C$18))</f>
        <v>219</v>
      </c>
      <c r="E40" s="366">
        <f t="shared" si="1"/>
        <v>0.67872760337745863</v>
      </c>
      <c r="F40" s="365">
        <f t="shared" si="3"/>
        <v>148.64134513966343</v>
      </c>
      <c r="G40" s="372">
        <f t="shared" si="4"/>
        <v>22.208242083995113</v>
      </c>
      <c r="H40" s="373">
        <f t="shared" si="5"/>
        <v>196.79175791600488</v>
      </c>
      <c r="I40" s="373">
        <f t="shared" si="6"/>
        <v>307.94101672024772</v>
      </c>
      <c r="J40" s="365">
        <f t="shared" si="2"/>
        <v>331.99635253390932</v>
      </c>
      <c r="K40" s="373">
        <f t="shared" si="7"/>
        <v>165.99817626695457</v>
      </c>
      <c r="O40" s="325"/>
      <c r="P40" s="325"/>
      <c r="Q40" s="325"/>
    </row>
    <row r="41" spans="1:17" s="31" customFormat="1" ht="15" customHeight="1" x14ac:dyDescent="0.2">
      <c r="A41" s="93">
        <f t="shared" si="8"/>
        <v>10</v>
      </c>
      <c r="B41" s="855">
        <f t="shared" si="8"/>
        <v>2024</v>
      </c>
      <c r="C41" s="1153">
        <f>IF(A41&gt;F$23,0,IF(A41=F$23,C$20-SUM(C$32:C40),C$18))</f>
        <v>219</v>
      </c>
      <c r="E41" s="366">
        <f t="shared" si="1"/>
        <v>0.65012222545733589</v>
      </c>
      <c r="F41" s="365">
        <f t="shared" si="3"/>
        <v>142.37676737515656</v>
      </c>
      <c r="G41" s="372">
        <f t="shared" si="4"/>
        <v>13.549404735690899</v>
      </c>
      <c r="H41" s="373">
        <f t="shared" si="5"/>
        <v>205.4505952643091</v>
      </c>
      <c r="I41" s="373">
        <f t="shared" si="6"/>
        <v>102.49042145593862</v>
      </c>
      <c r="J41" s="365">
        <f t="shared" si="2"/>
        <v>165.99817626695474</v>
      </c>
      <c r="K41" s="373">
        <f t="shared" si="7"/>
        <v>165.99817626695457</v>
      </c>
      <c r="O41" s="325"/>
      <c r="P41" s="325"/>
      <c r="Q41" s="325"/>
    </row>
    <row r="42" spans="1:17" s="31" customFormat="1" ht="15" customHeight="1" x14ac:dyDescent="0.2">
      <c r="A42" s="93">
        <f t="shared" si="8"/>
        <v>11</v>
      </c>
      <c r="B42" s="855">
        <f t="shared" si="8"/>
        <v>2025</v>
      </c>
      <c r="C42" s="1153">
        <f>IF(A42&gt;F$23,0,IF(A42=F$23,C$20-SUM(C$32:C41),C$18))</f>
        <v>107</v>
      </c>
      <c r="E42" s="366">
        <f t="shared" si="1"/>
        <v>0.62272243817752471</v>
      </c>
      <c r="F42" s="365">
        <f t="shared" si="3"/>
        <v>66.631300884995142</v>
      </c>
      <c r="G42" s="372">
        <f t="shared" si="4"/>
        <v>4.5095785440612985</v>
      </c>
      <c r="H42" s="373">
        <f t="shared" si="5"/>
        <v>102.4904214559387</v>
      </c>
      <c r="I42" s="373">
        <f t="shared" si="6"/>
        <v>0</v>
      </c>
      <c r="J42" s="365">
        <f t="shared" si="2"/>
        <v>0</v>
      </c>
      <c r="K42" s="373">
        <f t="shared" si="7"/>
        <v>165.99817626695457</v>
      </c>
      <c r="O42" s="325"/>
      <c r="P42" s="325"/>
      <c r="Q42" s="325"/>
    </row>
    <row r="43" spans="1:17" s="31" customFormat="1" ht="15" customHeight="1" x14ac:dyDescent="0.2">
      <c r="A43" s="93">
        <f t="shared" si="8"/>
        <v>12</v>
      </c>
      <c r="B43" s="855">
        <f t="shared" si="8"/>
        <v>2026</v>
      </c>
      <c r="C43" s="1153">
        <f>IF(A43&gt;F$23,0,IF(A43=F$23,C$20-SUM(C$32:C42),C$18))</f>
        <v>0</v>
      </c>
      <c r="E43" s="366">
        <f t="shared" si="1"/>
        <v>0.59647743120452557</v>
      </c>
      <c r="F43" s="365">
        <f t="shared" si="3"/>
        <v>0</v>
      </c>
      <c r="G43" s="372">
        <f t="shared" si="4"/>
        <v>0</v>
      </c>
      <c r="H43" s="373">
        <f t="shared" si="5"/>
        <v>0</v>
      </c>
      <c r="I43" s="373">
        <f t="shared" si="6"/>
        <v>0</v>
      </c>
      <c r="J43" s="365">
        <f t="shared" si="2"/>
        <v>0</v>
      </c>
      <c r="K43" s="373">
        <f t="shared" si="7"/>
        <v>0</v>
      </c>
      <c r="O43" s="325"/>
      <c r="P43" s="325"/>
      <c r="Q43" s="325"/>
    </row>
    <row r="44" spans="1:17" s="31" customFormat="1" ht="15" customHeight="1" x14ac:dyDescent="0.2">
      <c r="A44" s="93">
        <f t="shared" si="8"/>
        <v>13</v>
      </c>
      <c r="B44" s="855">
        <f t="shared" si="8"/>
        <v>2027</v>
      </c>
      <c r="C44" s="1153">
        <f>IF(A44&gt;F$23,0,IF(A44=F$23,C$20-SUM(C$32:C43),C$18))</f>
        <v>0</v>
      </c>
      <c r="E44" s="366">
        <f t="shared" si="1"/>
        <v>0.57133853563651882</v>
      </c>
      <c r="F44" s="365">
        <f t="shared" si="3"/>
        <v>0</v>
      </c>
      <c r="G44" s="372">
        <f t="shared" si="4"/>
        <v>0</v>
      </c>
      <c r="H44" s="373">
        <f t="shared" si="5"/>
        <v>0</v>
      </c>
      <c r="I44" s="373">
        <f t="shared" si="6"/>
        <v>0</v>
      </c>
      <c r="J44" s="365">
        <f t="shared" si="2"/>
        <v>0</v>
      </c>
      <c r="K44" s="373">
        <f t="shared" si="7"/>
        <v>0</v>
      </c>
      <c r="O44" s="325"/>
      <c r="P44" s="325"/>
      <c r="Q44" s="325"/>
    </row>
    <row r="45" spans="1:17" s="31" customFormat="1" ht="15" customHeight="1" x14ac:dyDescent="0.2">
      <c r="A45" s="93">
        <f t="shared" si="8"/>
        <v>14</v>
      </c>
      <c r="B45" s="855">
        <f t="shared" si="8"/>
        <v>2028</v>
      </c>
      <c r="C45" s="1153">
        <f>IF(A45&gt;F$23,0,IF(A45=F$23,C$20-SUM(C$32:C44),C$18))</f>
        <v>0</v>
      </c>
      <c r="E45" s="366">
        <f t="shared" si="1"/>
        <v>0.54725913375145474</v>
      </c>
      <c r="F45" s="365">
        <f t="shared" si="3"/>
        <v>0</v>
      </c>
      <c r="G45" s="372">
        <f t="shared" si="4"/>
        <v>0</v>
      </c>
      <c r="H45" s="373">
        <f t="shared" si="5"/>
        <v>0</v>
      </c>
      <c r="I45" s="373">
        <f t="shared" si="6"/>
        <v>0</v>
      </c>
      <c r="J45" s="365">
        <f t="shared" si="2"/>
        <v>0</v>
      </c>
      <c r="K45" s="373">
        <f t="shared" si="7"/>
        <v>0</v>
      </c>
      <c r="O45" s="325"/>
      <c r="P45" s="325"/>
      <c r="Q45" s="325"/>
    </row>
    <row r="46" spans="1:17" s="31" customFormat="1" ht="15" customHeight="1" x14ac:dyDescent="0.2">
      <c r="A46" s="93">
        <f t="shared" si="8"/>
        <v>15</v>
      </c>
      <c r="B46" s="855">
        <f t="shared" si="8"/>
        <v>2029</v>
      </c>
      <c r="C46" s="1153">
        <f>IF(A46&gt;F$23,0,IF(A46=F$23,C$20-SUM(C$32:C45),C$18))</f>
        <v>0</v>
      </c>
      <c r="E46" s="366">
        <f t="shared" si="1"/>
        <v>0.52419457255886459</v>
      </c>
      <c r="F46" s="365">
        <f t="shared" si="3"/>
        <v>0</v>
      </c>
      <c r="G46" s="372">
        <f t="shared" si="4"/>
        <v>0</v>
      </c>
      <c r="H46" s="373">
        <f t="shared" si="5"/>
        <v>0</v>
      </c>
      <c r="I46" s="373">
        <f t="shared" si="6"/>
        <v>0</v>
      </c>
      <c r="J46" s="365">
        <f t="shared" si="2"/>
        <v>0</v>
      </c>
      <c r="K46" s="373">
        <f t="shared" si="7"/>
        <v>0</v>
      </c>
      <c r="O46" s="325"/>
      <c r="P46" s="325"/>
      <c r="Q46" s="325"/>
    </row>
    <row r="47" spans="1:17" s="31" customFormat="1" ht="15" customHeight="1" x14ac:dyDescent="0.2">
      <c r="A47" s="93">
        <f t="shared" si="8"/>
        <v>16</v>
      </c>
      <c r="B47" s="855">
        <f t="shared" si="8"/>
        <v>2030</v>
      </c>
      <c r="C47" s="1153">
        <f>IF(A47&gt;F$23,0,IF(A47=F$23,C$20-SUM(C$32:C46),C$18))</f>
        <v>0</v>
      </c>
      <c r="E47" s="366">
        <f t="shared" si="1"/>
        <v>0.50210208099508113</v>
      </c>
      <c r="F47" s="365">
        <f t="shared" si="3"/>
        <v>0</v>
      </c>
      <c r="G47" s="372">
        <f t="shared" si="4"/>
        <v>0</v>
      </c>
      <c r="H47" s="373">
        <f t="shared" si="5"/>
        <v>0</v>
      </c>
      <c r="I47" s="373">
        <f t="shared" si="6"/>
        <v>0</v>
      </c>
      <c r="J47" s="365">
        <f t="shared" si="2"/>
        <v>0</v>
      </c>
      <c r="K47" s="373">
        <f t="shared" si="7"/>
        <v>0</v>
      </c>
      <c r="O47" s="325"/>
      <c r="P47" s="325"/>
      <c r="Q47" s="325"/>
    </row>
    <row r="48" spans="1:17" s="31" customFormat="1" ht="15" customHeight="1" x14ac:dyDescent="0.2">
      <c r="A48" s="93">
        <f t="shared" si="8"/>
        <v>17</v>
      </c>
      <c r="B48" s="855">
        <f t="shared" si="8"/>
        <v>2031</v>
      </c>
      <c r="C48" s="1153">
        <f>IF(A48&gt;F$23,0,IF(A48=F$23,C$20-SUM(C$32:C47),C$18))</f>
        <v>0</v>
      </c>
      <c r="E48" s="366">
        <f t="shared" si="1"/>
        <v>0.48094069060831529</v>
      </c>
      <c r="F48" s="365">
        <f t="shared" si="3"/>
        <v>0</v>
      </c>
      <c r="G48" s="372">
        <f t="shared" si="4"/>
        <v>0</v>
      </c>
      <c r="H48" s="373">
        <f t="shared" si="5"/>
        <v>0</v>
      </c>
      <c r="I48" s="373">
        <f t="shared" si="6"/>
        <v>0</v>
      </c>
      <c r="J48" s="365">
        <f t="shared" si="2"/>
        <v>0</v>
      </c>
      <c r="K48" s="373">
        <f t="shared" si="7"/>
        <v>0</v>
      </c>
      <c r="O48" s="325"/>
      <c r="P48" s="325"/>
      <c r="Q48" s="325"/>
    </row>
    <row r="49" spans="1:17" s="31" customFormat="1" ht="15" customHeight="1" x14ac:dyDescent="0.2">
      <c r="A49" s="93">
        <f t="shared" si="8"/>
        <v>18</v>
      </c>
      <c r="B49" s="855">
        <f t="shared" si="8"/>
        <v>2032</v>
      </c>
      <c r="C49" s="1153">
        <f>IF(A49&gt;F$23,0,IF(A49=F$23,C$20-SUM(C$32:C48),C$18))</f>
        <v>0</v>
      </c>
      <c r="E49" s="366">
        <f t="shared" si="1"/>
        <v>0.46067115958650884</v>
      </c>
      <c r="F49" s="365">
        <f t="shared" si="3"/>
        <v>0</v>
      </c>
      <c r="G49" s="372">
        <f t="shared" si="4"/>
        <v>0</v>
      </c>
      <c r="H49" s="373">
        <f t="shared" si="5"/>
        <v>0</v>
      </c>
      <c r="I49" s="373">
        <f t="shared" si="6"/>
        <v>0</v>
      </c>
      <c r="J49" s="365">
        <f t="shared" si="2"/>
        <v>0</v>
      </c>
      <c r="K49" s="373">
        <f t="shared" si="7"/>
        <v>0</v>
      </c>
      <c r="O49" s="325"/>
      <c r="P49" s="325"/>
      <c r="Q49" s="325"/>
    </row>
    <row r="50" spans="1:17" s="31" customFormat="1" ht="15" customHeight="1" x14ac:dyDescent="0.2">
      <c r="A50" s="93">
        <f t="shared" si="8"/>
        <v>19</v>
      </c>
      <c r="B50" s="855">
        <f t="shared" si="8"/>
        <v>2033</v>
      </c>
      <c r="C50" s="1153">
        <f>IF(A50&gt;F$23,0,IF(A50=F$23,C$20-SUM(C$32:C49),C$18))</f>
        <v>0</v>
      </c>
      <c r="E50" s="366">
        <f t="shared" si="1"/>
        <v>0.44125589998707743</v>
      </c>
      <c r="F50" s="365">
        <f t="shared" si="3"/>
        <v>0</v>
      </c>
      <c r="G50" s="372">
        <f t="shared" si="4"/>
        <v>0</v>
      </c>
      <c r="H50" s="373">
        <f t="shared" si="5"/>
        <v>0</v>
      </c>
      <c r="I50" s="373">
        <f t="shared" si="6"/>
        <v>0</v>
      </c>
      <c r="J50" s="365">
        <f t="shared" si="2"/>
        <v>0</v>
      </c>
      <c r="K50" s="373">
        <f t="shared" si="7"/>
        <v>0</v>
      </c>
      <c r="O50" s="325"/>
      <c r="P50" s="325"/>
      <c r="Q50" s="325"/>
    </row>
    <row r="51" spans="1:17" ht="15" customHeight="1" x14ac:dyDescent="0.2">
      <c r="A51" s="93">
        <f t="shared" si="8"/>
        <v>20</v>
      </c>
      <c r="B51" s="855">
        <f t="shared" si="8"/>
        <v>2034</v>
      </c>
      <c r="C51" s="1153">
        <f>IF(A51&gt;F$23,0,IF(A51=F$23,C$20-SUM(C$32:C50),C$18))</f>
        <v>0</v>
      </c>
      <c r="E51" s="366">
        <f t="shared" si="1"/>
        <v>0.42265890803359907</v>
      </c>
      <c r="F51" s="365">
        <f t="shared" si="3"/>
        <v>0</v>
      </c>
      <c r="G51" s="372">
        <f t="shared" si="4"/>
        <v>0</v>
      </c>
      <c r="H51" s="373">
        <f t="shared" si="5"/>
        <v>0</v>
      </c>
      <c r="I51" s="373">
        <f t="shared" si="6"/>
        <v>0</v>
      </c>
      <c r="J51" s="365">
        <f t="shared" si="2"/>
        <v>0</v>
      </c>
      <c r="K51" s="373">
        <f t="shared" si="7"/>
        <v>0</v>
      </c>
    </row>
    <row r="52" spans="1:17" ht="15" customHeight="1" thickBot="1" x14ac:dyDescent="0.25">
      <c r="A52" s="352" t="s">
        <v>441</v>
      </c>
      <c r="C52" s="387">
        <f>SUM(C32:C51)</f>
        <v>2318</v>
      </c>
      <c r="F52" s="387">
        <f>SUM(F32:F51)</f>
        <v>1825.9799389365003</v>
      </c>
      <c r="G52" s="387">
        <f>SUM(G32:G51)</f>
        <v>492.02006106349944</v>
      </c>
      <c r="H52" s="387">
        <f>SUM(H32:H51)</f>
        <v>1825.9799389365005</v>
      </c>
      <c r="I52" s="120"/>
      <c r="J52" s="120"/>
      <c r="K52" s="387">
        <f>SUM(K32:K51)</f>
        <v>1825.9799389365</v>
      </c>
    </row>
    <row r="53" spans="1:17" ht="15" customHeight="1" x14ac:dyDescent="0.2">
      <c r="I53" s="33"/>
    </row>
    <row r="54" spans="1:17" ht="15" customHeight="1" x14ac:dyDescent="0.2">
      <c r="A54" s="359" t="s">
        <v>442</v>
      </c>
      <c r="B54" s="359" t="s">
        <v>443</v>
      </c>
      <c r="C54" s="367" t="s">
        <v>444</v>
      </c>
      <c r="D54" s="368"/>
      <c r="E54" s="359" t="s">
        <v>445</v>
      </c>
      <c r="F54" s="359" t="s">
        <v>446</v>
      </c>
      <c r="G54" s="359" t="s">
        <v>447</v>
      </c>
      <c r="H54" s="359" t="s">
        <v>448</v>
      </c>
      <c r="I54" s="325"/>
      <c r="J54" s="325"/>
      <c r="K54" s="325"/>
    </row>
    <row r="55" spans="1:17" ht="15" customHeight="1" x14ac:dyDescent="0.2">
      <c r="A55" s="362" t="s">
        <v>449</v>
      </c>
      <c r="B55" s="362" t="s">
        <v>450</v>
      </c>
      <c r="C55" s="369" t="s">
        <v>451</v>
      </c>
      <c r="D55" s="370"/>
      <c r="E55" s="371" t="s">
        <v>452</v>
      </c>
      <c r="F55" s="371" t="s">
        <v>453</v>
      </c>
      <c r="G55" s="371" t="s">
        <v>454</v>
      </c>
      <c r="H55" s="371" t="s">
        <v>455</v>
      </c>
      <c r="I55" s="325"/>
      <c r="J55" s="325"/>
      <c r="K55" s="325"/>
    </row>
    <row r="56" spans="1:17" ht="15" customHeight="1" x14ac:dyDescent="0.2">
      <c r="A56" s="1086" t="s">
        <v>424</v>
      </c>
      <c r="B56" s="1095" t="s">
        <v>60</v>
      </c>
      <c r="C56" s="1098" t="s">
        <v>59</v>
      </c>
      <c r="D56" s="1099"/>
      <c r="E56" s="1100"/>
      <c r="F56" s="1101"/>
      <c r="G56" s="1102" t="s">
        <v>456</v>
      </c>
      <c r="H56" s="1101"/>
      <c r="I56" s="325"/>
      <c r="J56" s="325"/>
      <c r="K56" s="325"/>
    </row>
    <row r="57" spans="1:17" ht="15" customHeight="1" x14ac:dyDescent="0.2">
      <c r="A57" s="1089" t="s">
        <v>430</v>
      </c>
      <c r="B57" s="1096" t="s">
        <v>457</v>
      </c>
      <c r="C57" s="1090" t="s">
        <v>113</v>
      </c>
      <c r="D57" s="1091"/>
      <c r="E57" s="1089" t="s">
        <v>72</v>
      </c>
      <c r="F57" s="1089" t="s">
        <v>45</v>
      </c>
      <c r="G57" s="1089" t="s">
        <v>458</v>
      </c>
      <c r="H57" s="1089" t="s">
        <v>459</v>
      </c>
      <c r="I57" s="325"/>
      <c r="J57" s="325"/>
      <c r="K57" s="325"/>
    </row>
    <row r="58" spans="1:17" ht="15" customHeight="1" x14ac:dyDescent="0.2">
      <c r="A58" s="1092" t="s">
        <v>429</v>
      </c>
      <c r="B58" s="1097" t="s">
        <v>460</v>
      </c>
      <c r="C58" s="1093" t="s">
        <v>115</v>
      </c>
      <c r="D58" s="1094"/>
      <c r="E58" s="1092" t="s">
        <v>115</v>
      </c>
      <c r="F58" s="1092" t="s">
        <v>115</v>
      </c>
      <c r="G58" s="1092" t="s">
        <v>461</v>
      </c>
      <c r="H58" s="1092" t="s">
        <v>461</v>
      </c>
    </row>
    <row r="59" spans="1:17" ht="15" customHeight="1" x14ac:dyDescent="0.2">
      <c r="A59" s="394">
        <f>B32</f>
        <v>2015</v>
      </c>
      <c r="B59" s="411">
        <f>C32</f>
        <v>210</v>
      </c>
      <c r="C59" s="390">
        <f>G32</f>
        <v>80.343117313206008</v>
      </c>
      <c r="D59" s="390"/>
      <c r="E59" s="390">
        <f>K32</f>
        <v>165.99817626695457</v>
      </c>
      <c r="F59" s="390">
        <f>C59+E59</f>
        <v>246.3412935801606</v>
      </c>
      <c r="G59" s="390">
        <f>F59-B59</f>
        <v>36.341293580160595</v>
      </c>
      <c r="H59" s="390">
        <f t="shared" ref="H59:H78" si="9">G59*(1-J$10)</f>
        <v>22.340959168131516</v>
      </c>
    </row>
    <row r="60" spans="1:17" ht="15" customHeight="1" x14ac:dyDescent="0.2">
      <c r="A60" s="395">
        <f>B33</f>
        <v>2016</v>
      </c>
      <c r="B60" s="410">
        <f>C33</f>
        <v>231</v>
      </c>
      <c r="C60" s="373">
        <f>G33</f>
        <v>74.638214474987066</v>
      </c>
      <c r="D60" s="373"/>
      <c r="E60" s="373">
        <f>K33</f>
        <v>165.99817626695457</v>
      </c>
      <c r="F60" s="373">
        <f>C60+E60</f>
        <v>240.63639074194163</v>
      </c>
      <c r="G60" s="373">
        <f t="shared" ref="G60:G78" si="10">F60-B60</f>
        <v>9.636390741941625</v>
      </c>
      <c r="H60" s="373">
        <f t="shared" si="9"/>
        <v>5.9240107020132946</v>
      </c>
    </row>
    <row r="61" spans="1:17" ht="15" customHeight="1" x14ac:dyDescent="0.2">
      <c r="A61" s="395">
        <f t="shared" ref="A61:B76" si="11">B34</f>
        <v>2017</v>
      </c>
      <c r="B61" s="410">
        <f t="shared" si="11"/>
        <v>229</v>
      </c>
      <c r="C61" s="373">
        <f t="shared" ref="C61:C78" si="12">G34</f>
        <v>67.758295911886506</v>
      </c>
      <c r="D61" s="373"/>
      <c r="E61" s="373">
        <f t="shared" ref="E61:E78" si="13">K34</f>
        <v>165.99817626695457</v>
      </c>
      <c r="F61" s="373">
        <f t="shared" ref="F61:F78" si="14">C61+E61</f>
        <v>233.75647217884108</v>
      </c>
      <c r="G61" s="373">
        <f t="shared" si="10"/>
        <v>4.7564721788410793</v>
      </c>
      <c r="H61" s="373">
        <f t="shared" si="9"/>
        <v>2.9240607656809914</v>
      </c>
      <c r="L61" s="325"/>
      <c r="M61" s="325"/>
      <c r="N61" s="325"/>
    </row>
    <row r="62" spans="1:17" ht="15" customHeight="1" x14ac:dyDescent="0.2">
      <c r="A62" s="395">
        <f t="shared" si="11"/>
        <v>2018</v>
      </c>
      <c r="B62" s="410">
        <f t="shared" si="11"/>
        <v>227</v>
      </c>
      <c r="C62" s="373">
        <f t="shared" si="12"/>
        <v>60.663660932009513</v>
      </c>
      <c r="D62" s="373"/>
      <c r="E62" s="373">
        <f t="shared" si="13"/>
        <v>165.99817626695457</v>
      </c>
      <c r="F62" s="373">
        <f t="shared" si="14"/>
        <v>226.66183719896409</v>
      </c>
      <c r="G62" s="373">
        <f t="shared" si="10"/>
        <v>-0.33816280103590657</v>
      </c>
      <c r="H62" s="373">
        <f t="shared" si="9"/>
        <v>-0.20788696784994257</v>
      </c>
      <c r="L62" s="325"/>
      <c r="M62" s="325"/>
      <c r="N62" s="325"/>
    </row>
    <row r="63" spans="1:17" ht="15" customHeight="1" x14ac:dyDescent="0.2">
      <c r="A63" s="395">
        <f t="shared" si="11"/>
        <v>2019</v>
      </c>
      <c r="B63" s="410">
        <f t="shared" si="11"/>
        <v>219</v>
      </c>
      <c r="C63" s="373">
        <f t="shared" si="12"/>
        <v>53.344862013017938</v>
      </c>
      <c r="D63" s="373"/>
      <c r="E63" s="373">
        <f t="shared" si="13"/>
        <v>165.99817626695457</v>
      </c>
      <c r="F63" s="373">
        <f t="shared" si="14"/>
        <v>219.34303827997252</v>
      </c>
      <c r="G63" s="373">
        <f t="shared" si="10"/>
        <v>0.34303827997251801</v>
      </c>
      <c r="H63" s="373">
        <f t="shared" si="9"/>
        <v>0.2108841885076955</v>
      </c>
      <c r="L63" s="325"/>
      <c r="M63" s="325"/>
      <c r="N63" s="325"/>
    </row>
    <row r="64" spans="1:17" ht="15" customHeight="1" x14ac:dyDescent="0.2">
      <c r="A64" s="395">
        <f t="shared" si="11"/>
        <v>2020</v>
      </c>
      <c r="B64" s="410">
        <f t="shared" si="11"/>
        <v>219</v>
      </c>
      <c r="C64" s="373">
        <f t="shared" si="12"/>
        <v>46.056035941590729</v>
      </c>
      <c r="D64" s="373"/>
      <c r="E64" s="373">
        <f t="shared" si="13"/>
        <v>165.99817626695457</v>
      </c>
      <c r="F64" s="373">
        <f t="shared" si="14"/>
        <v>212.05421220854529</v>
      </c>
      <c r="G64" s="373">
        <f t="shared" si="10"/>
        <v>-6.9457877914547055</v>
      </c>
      <c r="H64" s="373">
        <f t="shared" si="9"/>
        <v>-4.2699515111401878</v>
      </c>
      <c r="L64" s="325"/>
      <c r="M64" s="325"/>
      <c r="N64" s="325"/>
    </row>
    <row r="65" spans="1:17" ht="15" customHeight="1" x14ac:dyDescent="0.2">
      <c r="A65" s="395">
        <f t="shared" si="11"/>
        <v>2021</v>
      </c>
      <c r="B65" s="410">
        <f t="shared" si="11"/>
        <v>219</v>
      </c>
      <c r="C65" s="373">
        <f t="shared" si="12"/>
        <v>38.446501523020721</v>
      </c>
      <c r="D65" s="373"/>
      <c r="E65" s="373">
        <f t="shared" si="13"/>
        <v>165.99817626695457</v>
      </c>
      <c r="F65" s="373">
        <f t="shared" si="14"/>
        <v>204.44467778997529</v>
      </c>
      <c r="G65" s="373">
        <f t="shared" si="10"/>
        <v>-14.555322210024713</v>
      </c>
      <c r="H65" s="373">
        <f t="shared" si="9"/>
        <v>-8.9479439815725694</v>
      </c>
      <c r="L65" s="325"/>
      <c r="M65" s="325"/>
      <c r="N65" s="325"/>
    </row>
    <row r="66" spans="1:17" ht="15" customHeight="1" x14ac:dyDescent="0.2">
      <c r="A66" s="395">
        <f t="shared" si="11"/>
        <v>2022</v>
      </c>
      <c r="B66" s="410">
        <f t="shared" si="11"/>
        <v>219</v>
      </c>
      <c r="C66" s="373">
        <f t="shared" si="12"/>
        <v>30.502147590033633</v>
      </c>
      <c r="D66" s="373"/>
      <c r="E66" s="373">
        <f t="shared" si="13"/>
        <v>165.99817626695457</v>
      </c>
      <c r="F66" s="373">
        <f t="shared" si="14"/>
        <v>196.50032385698822</v>
      </c>
      <c r="G66" s="373">
        <f t="shared" si="10"/>
        <v>-22.499676143011783</v>
      </c>
      <c r="H66" s="373">
        <f t="shared" si="9"/>
        <v>-13.831768120703964</v>
      </c>
    </row>
    <row r="67" spans="1:17" s="31" customFormat="1" ht="15" customHeight="1" x14ac:dyDescent="0.2">
      <c r="A67" s="395">
        <f t="shared" si="11"/>
        <v>2023</v>
      </c>
      <c r="B67" s="410">
        <f t="shared" si="11"/>
        <v>219</v>
      </c>
      <c r="C67" s="373">
        <f t="shared" si="12"/>
        <v>22.208242083995113</v>
      </c>
      <c r="D67" s="373"/>
      <c r="E67" s="373">
        <f t="shared" si="13"/>
        <v>165.99817626695457</v>
      </c>
      <c r="F67" s="373">
        <f t="shared" si="14"/>
        <v>188.20641835094969</v>
      </c>
      <c r="G67" s="373">
        <f t="shared" si="10"/>
        <v>-30.79358164905031</v>
      </c>
      <c r="H67" s="373">
        <f t="shared" si="9"/>
        <v>-18.930480521957158</v>
      </c>
      <c r="O67" s="325"/>
      <c r="P67" s="325"/>
      <c r="Q67" s="325"/>
    </row>
    <row r="68" spans="1:17" s="31" customFormat="1" ht="15" customHeight="1" x14ac:dyDescent="0.2">
      <c r="A68" s="395">
        <f t="shared" si="11"/>
        <v>2024</v>
      </c>
      <c r="B68" s="410">
        <f t="shared" si="11"/>
        <v>219</v>
      </c>
      <c r="C68" s="373">
        <f t="shared" si="12"/>
        <v>13.549404735690899</v>
      </c>
      <c r="D68" s="373"/>
      <c r="E68" s="373">
        <f t="shared" si="13"/>
        <v>165.99817626695457</v>
      </c>
      <c r="F68" s="373">
        <f t="shared" si="14"/>
        <v>179.54758100264547</v>
      </c>
      <c r="G68" s="373">
        <f t="shared" si="10"/>
        <v>-39.452418997354528</v>
      </c>
      <c r="H68" s="373">
        <f t="shared" si="9"/>
        <v>-24.253536268865489</v>
      </c>
      <c r="O68" s="325"/>
      <c r="P68" s="325"/>
      <c r="Q68" s="325"/>
    </row>
    <row r="69" spans="1:17" s="31" customFormat="1" ht="15" customHeight="1" x14ac:dyDescent="0.2">
      <c r="A69" s="395">
        <f t="shared" si="11"/>
        <v>2025</v>
      </c>
      <c r="B69" s="410">
        <f t="shared" si="11"/>
        <v>107</v>
      </c>
      <c r="C69" s="373">
        <f t="shared" si="12"/>
        <v>4.5095785440612985</v>
      </c>
      <c r="D69" s="373"/>
      <c r="E69" s="373">
        <f t="shared" si="13"/>
        <v>165.99817626695457</v>
      </c>
      <c r="F69" s="373">
        <f t="shared" si="14"/>
        <v>170.50775481101587</v>
      </c>
      <c r="G69" s="373">
        <f t="shared" si="10"/>
        <v>63.507754811015872</v>
      </c>
      <c r="H69" s="373">
        <f t="shared" si="9"/>
        <v>39.04165254775566</v>
      </c>
      <c r="O69" s="325"/>
      <c r="P69" s="325"/>
      <c r="Q69" s="325"/>
    </row>
    <row r="70" spans="1:17" s="31" customFormat="1" ht="15" customHeight="1" x14ac:dyDescent="0.2">
      <c r="A70" s="395">
        <f t="shared" si="11"/>
        <v>2026</v>
      </c>
      <c r="B70" s="410">
        <f t="shared" si="11"/>
        <v>0</v>
      </c>
      <c r="C70" s="373">
        <f t="shared" si="12"/>
        <v>0</v>
      </c>
      <c r="D70" s="373"/>
      <c r="E70" s="373">
        <f t="shared" si="13"/>
        <v>0</v>
      </c>
      <c r="F70" s="373">
        <f t="shared" si="14"/>
        <v>0</v>
      </c>
      <c r="G70" s="373">
        <f t="shared" si="10"/>
        <v>0</v>
      </c>
      <c r="H70" s="373">
        <f t="shared" si="9"/>
        <v>0</v>
      </c>
      <c r="O70" s="325"/>
      <c r="P70" s="325"/>
      <c r="Q70" s="325"/>
    </row>
    <row r="71" spans="1:17" s="31" customFormat="1" ht="15" customHeight="1" x14ac:dyDescent="0.2">
      <c r="A71" s="395">
        <f t="shared" si="11"/>
        <v>2027</v>
      </c>
      <c r="B71" s="410">
        <f t="shared" si="11"/>
        <v>0</v>
      </c>
      <c r="C71" s="373">
        <f t="shared" si="12"/>
        <v>0</v>
      </c>
      <c r="D71" s="373"/>
      <c r="E71" s="373">
        <f t="shared" si="13"/>
        <v>0</v>
      </c>
      <c r="F71" s="373">
        <f t="shared" si="14"/>
        <v>0</v>
      </c>
      <c r="G71" s="373">
        <f t="shared" si="10"/>
        <v>0</v>
      </c>
      <c r="H71" s="373">
        <f t="shared" si="9"/>
        <v>0</v>
      </c>
      <c r="O71" s="325"/>
      <c r="P71" s="325"/>
      <c r="Q71" s="325"/>
    </row>
    <row r="72" spans="1:17" s="31" customFormat="1" ht="15" customHeight="1" x14ac:dyDescent="0.2">
      <c r="A72" s="395">
        <f t="shared" si="11"/>
        <v>2028</v>
      </c>
      <c r="B72" s="410">
        <f t="shared" si="11"/>
        <v>0</v>
      </c>
      <c r="C72" s="373">
        <f t="shared" si="12"/>
        <v>0</v>
      </c>
      <c r="D72" s="373"/>
      <c r="E72" s="373">
        <f t="shared" si="13"/>
        <v>0</v>
      </c>
      <c r="F72" s="373">
        <f t="shared" si="14"/>
        <v>0</v>
      </c>
      <c r="G72" s="373">
        <f t="shared" si="10"/>
        <v>0</v>
      </c>
      <c r="H72" s="373">
        <f t="shared" si="9"/>
        <v>0</v>
      </c>
      <c r="O72" s="325"/>
      <c r="P72" s="325"/>
      <c r="Q72" s="325"/>
    </row>
    <row r="73" spans="1:17" s="31" customFormat="1" ht="15" customHeight="1" x14ac:dyDescent="0.2">
      <c r="A73" s="395">
        <f t="shared" si="11"/>
        <v>2029</v>
      </c>
      <c r="B73" s="410">
        <f t="shared" si="11"/>
        <v>0</v>
      </c>
      <c r="C73" s="373">
        <f t="shared" si="12"/>
        <v>0</v>
      </c>
      <c r="D73" s="373"/>
      <c r="E73" s="373">
        <f t="shared" si="13"/>
        <v>0</v>
      </c>
      <c r="F73" s="373">
        <f t="shared" si="14"/>
        <v>0</v>
      </c>
      <c r="G73" s="373">
        <f t="shared" si="10"/>
        <v>0</v>
      </c>
      <c r="H73" s="373">
        <f t="shared" si="9"/>
        <v>0</v>
      </c>
      <c r="O73" s="325"/>
      <c r="P73" s="325"/>
      <c r="Q73" s="325"/>
    </row>
    <row r="74" spans="1:17" s="31" customFormat="1" ht="15" customHeight="1" x14ac:dyDescent="0.2">
      <c r="A74" s="395">
        <f t="shared" si="11"/>
        <v>2030</v>
      </c>
      <c r="B74" s="410">
        <f t="shared" si="11"/>
        <v>0</v>
      </c>
      <c r="C74" s="373">
        <f t="shared" si="12"/>
        <v>0</v>
      </c>
      <c r="D74" s="373"/>
      <c r="E74" s="373">
        <f t="shared" si="13"/>
        <v>0</v>
      </c>
      <c r="F74" s="373">
        <f t="shared" si="14"/>
        <v>0</v>
      </c>
      <c r="G74" s="373">
        <f t="shared" si="10"/>
        <v>0</v>
      </c>
      <c r="H74" s="373">
        <f t="shared" si="9"/>
        <v>0</v>
      </c>
      <c r="O74" s="325"/>
      <c r="P74" s="325"/>
      <c r="Q74" s="325"/>
    </row>
    <row r="75" spans="1:17" s="31" customFormat="1" ht="15" customHeight="1" x14ac:dyDescent="0.2">
      <c r="A75" s="395">
        <f t="shared" si="11"/>
        <v>2031</v>
      </c>
      <c r="B75" s="410">
        <f t="shared" si="11"/>
        <v>0</v>
      </c>
      <c r="C75" s="373">
        <f t="shared" si="12"/>
        <v>0</v>
      </c>
      <c r="D75" s="373"/>
      <c r="E75" s="373">
        <f t="shared" si="13"/>
        <v>0</v>
      </c>
      <c r="F75" s="373">
        <f t="shared" si="14"/>
        <v>0</v>
      </c>
      <c r="G75" s="373">
        <f t="shared" si="10"/>
        <v>0</v>
      </c>
      <c r="H75" s="373">
        <f t="shared" si="9"/>
        <v>0</v>
      </c>
      <c r="O75" s="325"/>
      <c r="P75" s="325"/>
      <c r="Q75" s="325"/>
    </row>
    <row r="76" spans="1:17" s="31" customFormat="1" ht="15" customHeight="1" x14ac:dyDescent="0.2">
      <c r="A76" s="395">
        <f t="shared" si="11"/>
        <v>2032</v>
      </c>
      <c r="B76" s="410">
        <f t="shared" si="11"/>
        <v>0</v>
      </c>
      <c r="C76" s="373">
        <f t="shared" si="12"/>
        <v>0</v>
      </c>
      <c r="D76" s="373"/>
      <c r="E76" s="373">
        <f t="shared" si="13"/>
        <v>0</v>
      </c>
      <c r="F76" s="373">
        <f t="shared" si="14"/>
        <v>0</v>
      </c>
      <c r="G76" s="373">
        <f t="shared" si="10"/>
        <v>0</v>
      </c>
      <c r="H76" s="373">
        <f t="shared" si="9"/>
        <v>0</v>
      </c>
      <c r="O76" s="325"/>
      <c r="P76" s="325"/>
      <c r="Q76" s="325"/>
    </row>
    <row r="77" spans="1:17" s="31" customFormat="1" ht="15" customHeight="1" x14ac:dyDescent="0.2">
      <c r="A77" s="395">
        <f>B50</f>
        <v>2033</v>
      </c>
      <c r="B77" s="410">
        <f>C50</f>
        <v>0</v>
      </c>
      <c r="C77" s="373">
        <f t="shared" si="12"/>
        <v>0</v>
      </c>
      <c r="D77" s="373"/>
      <c r="E77" s="373">
        <f t="shared" si="13"/>
        <v>0</v>
      </c>
      <c r="F77" s="373">
        <f t="shared" si="14"/>
        <v>0</v>
      </c>
      <c r="G77" s="373">
        <f t="shared" si="10"/>
        <v>0</v>
      </c>
      <c r="H77" s="373">
        <f t="shared" si="9"/>
        <v>0</v>
      </c>
      <c r="O77" s="325"/>
      <c r="P77" s="325"/>
      <c r="Q77" s="325"/>
    </row>
    <row r="78" spans="1:17" s="31" customFormat="1" ht="15" customHeight="1" x14ac:dyDescent="0.2">
      <c r="A78" s="395">
        <f>B51</f>
        <v>2034</v>
      </c>
      <c r="B78" s="410">
        <f>C51</f>
        <v>0</v>
      </c>
      <c r="C78" s="373">
        <f t="shared" si="12"/>
        <v>0</v>
      </c>
      <c r="D78" s="373"/>
      <c r="E78" s="373">
        <f t="shared" si="13"/>
        <v>0</v>
      </c>
      <c r="F78" s="373">
        <f t="shared" si="14"/>
        <v>0</v>
      </c>
      <c r="G78" s="373">
        <f t="shared" si="10"/>
        <v>0</v>
      </c>
      <c r="H78" s="373">
        <f t="shared" si="9"/>
        <v>0</v>
      </c>
      <c r="O78" s="325"/>
      <c r="P78" s="325"/>
      <c r="Q78" s="325"/>
    </row>
    <row r="79" spans="1:17" s="31" customFormat="1" ht="15" customHeight="1" thickBot="1" x14ac:dyDescent="0.25">
      <c r="A79" s="372" t="s">
        <v>441</v>
      </c>
      <c r="B79" s="412">
        <f>SUM(B59:B78)</f>
        <v>2318</v>
      </c>
      <c r="C79" s="412">
        <f>SUM(C59:C78)</f>
        <v>492.02006106349944</v>
      </c>
      <c r="D79" s="412"/>
      <c r="E79" s="412">
        <f>SUM(E59:E78)</f>
        <v>1825.9799389365</v>
      </c>
      <c r="F79" s="412">
        <f>SUM(F59:F78)</f>
        <v>2317.9999999999995</v>
      </c>
      <c r="G79" s="412">
        <f>SUM(G59:G78)</f>
        <v>-2.5579538487363607E-13</v>
      </c>
      <c r="H79" s="412">
        <f>SUM(H59:H78)</f>
        <v>-1.4921397450962104E-13</v>
      </c>
      <c r="O79" s="325"/>
      <c r="P79" s="325"/>
      <c r="Q79" s="325"/>
    </row>
    <row r="80" spans="1:17" s="31" customFormat="1" ht="15" customHeight="1" x14ac:dyDescent="0.2">
      <c r="O80" s="325"/>
      <c r="P80" s="325"/>
      <c r="Q80" s="325"/>
    </row>
    <row r="81" spans="1:17" s="31" customFormat="1" ht="15" customHeight="1" x14ac:dyDescent="0.2">
      <c r="A81" s="1103" t="s">
        <v>469</v>
      </c>
      <c r="B81" s="1112"/>
      <c r="C81" s="1112"/>
      <c r="D81" s="1112"/>
      <c r="E81" s="1105">
        <f>C10</f>
        <v>2014</v>
      </c>
      <c r="F81" s="1112"/>
      <c r="G81" s="1106" t="s">
        <v>117</v>
      </c>
      <c r="H81" s="1106" t="s">
        <v>118</v>
      </c>
      <c r="I81" s="110"/>
      <c r="O81" s="325"/>
      <c r="P81" s="325"/>
      <c r="Q81" s="325"/>
    </row>
    <row r="82" spans="1:17" s="31" customFormat="1" ht="15" customHeight="1" x14ac:dyDescent="0.2">
      <c r="A82" s="325" t="s">
        <v>470</v>
      </c>
      <c r="B82" s="110"/>
      <c r="C82" s="110"/>
      <c r="D82" s="110"/>
      <c r="E82" s="110"/>
      <c r="F82" s="110"/>
      <c r="G82" s="381">
        <f>ROUND(J31,0)</f>
        <v>1826</v>
      </c>
      <c r="H82" s="381"/>
      <c r="I82" s="110"/>
      <c r="O82" s="325"/>
      <c r="P82" s="325"/>
      <c r="Q82" s="325"/>
    </row>
    <row r="83" spans="1:17" s="31" customFormat="1" ht="15" customHeight="1" x14ac:dyDescent="0.2">
      <c r="A83" s="325" t="s">
        <v>471</v>
      </c>
      <c r="B83" s="110"/>
      <c r="C83" s="110"/>
      <c r="D83" s="110"/>
      <c r="E83" s="110"/>
      <c r="F83" s="110"/>
      <c r="G83" s="381"/>
      <c r="H83" s="381">
        <f>ROUND(H32,0)</f>
        <v>130</v>
      </c>
      <c r="I83" s="110"/>
      <c r="O83" s="325"/>
      <c r="P83" s="325"/>
      <c r="Q83" s="325"/>
    </row>
    <row r="84" spans="1:17" s="31" customFormat="1" ht="15" customHeight="1" x14ac:dyDescent="0.2">
      <c r="A84" s="325" t="s">
        <v>472</v>
      </c>
      <c r="B84" s="110"/>
      <c r="C84" s="110"/>
      <c r="D84" s="110"/>
      <c r="E84" s="110"/>
      <c r="F84" s="110"/>
      <c r="G84" s="408"/>
      <c r="H84" s="75">
        <f>ROUND(I31,0)-ROUND(H32,0)</f>
        <v>1696</v>
      </c>
      <c r="I84" s="110"/>
      <c r="O84" s="325"/>
      <c r="P84" s="325"/>
      <c r="Q84" s="325"/>
    </row>
    <row r="85" spans="1:17" s="31" customFormat="1" ht="15" customHeight="1" thickBot="1" x14ac:dyDescent="0.25">
      <c r="A85" s="1107" t="s">
        <v>468</v>
      </c>
      <c r="B85" s="1104"/>
      <c r="C85" s="1104"/>
      <c r="D85" s="1104"/>
      <c r="E85" s="1104"/>
      <c r="F85" s="1104"/>
      <c r="G85" s="1108">
        <f>SUM(G82:G84)</f>
        <v>1826</v>
      </c>
      <c r="H85" s="1108">
        <f>SUM(H82:H84)</f>
        <v>1826</v>
      </c>
      <c r="I85" s="110"/>
      <c r="O85" s="325"/>
      <c r="P85" s="325"/>
      <c r="Q85" s="325"/>
    </row>
    <row r="90" spans="1:17" s="31" customFormat="1" ht="16.5" customHeight="1" x14ac:dyDescent="0.2">
      <c r="B90" s="110"/>
      <c r="C90" s="110"/>
      <c r="D90" s="110"/>
      <c r="E90" s="110"/>
      <c r="F90" s="110"/>
      <c r="G90" s="111"/>
      <c r="H90" s="111"/>
      <c r="I90" s="110"/>
      <c r="O90" s="325"/>
      <c r="P90" s="325"/>
      <c r="Q90" s="325"/>
    </row>
    <row r="93" spans="1:17" s="31" customFormat="1" ht="16.5" customHeight="1" x14ac:dyDescent="0.2">
      <c r="A93" s="1103" t="s">
        <v>473</v>
      </c>
      <c r="B93" s="1104"/>
      <c r="C93" s="1104"/>
      <c r="D93" s="1104"/>
      <c r="E93" s="1105">
        <f>J7</f>
        <v>2015</v>
      </c>
      <c r="F93" s="1104"/>
      <c r="G93" s="1106" t="s">
        <v>117</v>
      </c>
      <c r="H93" s="1106" t="s">
        <v>118</v>
      </c>
      <c r="I93" s="1106" t="s">
        <v>462</v>
      </c>
      <c r="O93" s="325"/>
      <c r="P93" s="325"/>
      <c r="Q93" s="325"/>
    </row>
    <row r="94" spans="1:17" s="31" customFormat="1" ht="16.5" customHeight="1" x14ac:dyDescent="0.2">
      <c r="A94" s="325" t="s">
        <v>559</v>
      </c>
      <c r="B94" s="110"/>
      <c r="C94" s="110"/>
      <c r="D94" s="110"/>
      <c r="E94" s="110"/>
      <c r="F94" s="110"/>
      <c r="G94" s="120">
        <f>ROUND(C59,0)</f>
        <v>80</v>
      </c>
      <c r="I94" s="1109">
        <f>-G94</f>
        <v>-80</v>
      </c>
      <c r="O94" s="325"/>
      <c r="P94" s="325"/>
      <c r="Q94" s="325"/>
    </row>
    <row r="95" spans="1:17" s="31" customFormat="1" ht="16.5" customHeight="1" x14ac:dyDescent="0.2">
      <c r="A95" s="325" t="s">
        <v>476</v>
      </c>
      <c r="B95" s="110"/>
      <c r="C95" s="110"/>
      <c r="D95" s="110"/>
      <c r="E95" s="110"/>
      <c r="F95" s="110"/>
      <c r="G95" s="31">
        <f>ROUND(E59,0)</f>
        <v>166</v>
      </c>
      <c r="I95" s="1110">
        <f>-G95</f>
        <v>-166</v>
      </c>
      <c r="O95" s="325"/>
      <c r="P95" s="325"/>
      <c r="Q95" s="325"/>
    </row>
    <row r="96" spans="1:17" s="31" customFormat="1" ht="16.5" customHeight="1" x14ac:dyDescent="0.2">
      <c r="A96" s="325" t="s">
        <v>1017</v>
      </c>
      <c r="B96" s="110"/>
      <c r="C96" s="110"/>
      <c r="D96" s="110"/>
      <c r="E96" s="110"/>
      <c r="F96" s="110"/>
      <c r="G96" s="31" t="str">
        <f>IF(G94+G95-H97&lt;0,-(-ROUND(B59,0)+ROUND(C59,0)+ROUND(E59,0)-(ROUND(G59,0)-ROUND(H59,0)))," ")</f>
        <v xml:space="preserve"> </v>
      </c>
      <c r="H96" s="31">
        <f>IF(G94+G95-H97&gt;0,-ROUND(B59,0)+ROUND(C59,0)+ROUND(E59,0)-(ROUND(G59,0)-ROUND(H59,0))," ")</f>
        <v>22</v>
      </c>
      <c r="I96" s="1111" t="s">
        <v>119</v>
      </c>
      <c r="O96" s="325"/>
      <c r="P96" s="325"/>
      <c r="Q96" s="325"/>
    </row>
    <row r="97" spans="1:17" s="31" customFormat="1" ht="16.5" customHeight="1" x14ac:dyDescent="0.2">
      <c r="A97" s="325" t="s">
        <v>477</v>
      </c>
      <c r="B97" s="110"/>
      <c r="C97" s="110"/>
      <c r="D97" s="110"/>
      <c r="E97" s="110"/>
      <c r="F97" s="110"/>
      <c r="H97" s="31">
        <f>ROUND(B59,0)</f>
        <v>210</v>
      </c>
      <c r="I97" s="1110">
        <f>H97</f>
        <v>210</v>
      </c>
      <c r="O97" s="325"/>
      <c r="P97" s="325"/>
      <c r="Q97" s="325"/>
    </row>
    <row r="98" spans="1:17" s="31" customFormat="1" ht="16.5" customHeight="1" x14ac:dyDescent="0.2">
      <c r="A98" s="325" t="s">
        <v>1018</v>
      </c>
      <c r="B98" s="110"/>
      <c r="C98" s="110"/>
      <c r="D98" s="110"/>
      <c r="E98" s="110"/>
      <c r="F98" s="110"/>
      <c r="G98" s="31">
        <f>IF(G94+G95-H97&lt;0,-(ROUND(G59,0)-ROUND(H59,0)),0)</f>
        <v>0</v>
      </c>
      <c r="H98" s="31">
        <f>IF(G94+G95-H97&gt;0,ROUND(G59,0)-ROUND(H59,0),0)</f>
        <v>14</v>
      </c>
      <c r="I98" s="1110">
        <f>IF(G98=" ",H98,-G98)</f>
        <v>0</v>
      </c>
      <c r="O98" s="325"/>
      <c r="P98" s="325"/>
      <c r="Q98" s="325"/>
    </row>
    <row r="99" spans="1:17" ht="16.5" customHeight="1" thickBot="1" x14ac:dyDescent="0.25">
      <c r="A99" s="1107" t="s">
        <v>468</v>
      </c>
      <c r="B99" s="1104"/>
      <c r="C99" s="1104"/>
      <c r="D99" s="1104"/>
      <c r="E99" s="1104"/>
      <c r="F99" s="1104"/>
      <c r="G99" s="1108">
        <f>SUM(G94:G98)</f>
        <v>246</v>
      </c>
      <c r="H99" s="1108">
        <f>SUM(H94:H98)</f>
        <v>246</v>
      </c>
      <c r="I99" s="1108">
        <f>SUM(I94:I98)</f>
        <v>-36</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drawing r:id="rId2"/>
  <legacyDrawing r:id="rId3"/>
  <extLst>
    <ext xmlns:mx="http://schemas.microsoft.com/office/mac/excel/2008/main" uri="http://schemas.microsoft.com/office/mac/excel/2008/main">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08B00"/>
  </sheetPr>
  <dimension ref="A1:Z107"/>
  <sheetViews>
    <sheetView view="pageBreakPreview" topLeftCell="A7" zoomScaleSheetLayoutView="100" workbookViewId="0">
      <selection activeCell="C15" sqref="C15"/>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26" s="575" customFormat="1" ht="15" customHeight="1" x14ac:dyDescent="0.2">
      <c r="A1" s="572" t="s">
        <v>363</v>
      </c>
      <c r="B1" s="572"/>
      <c r="C1" s="572"/>
      <c r="D1" s="573"/>
      <c r="E1" s="573"/>
      <c r="F1" s="574"/>
      <c r="G1" s="574"/>
      <c r="H1" s="574"/>
      <c r="I1" s="574"/>
      <c r="J1" s="574"/>
      <c r="K1" s="574"/>
      <c r="L1" s="574" t="s">
        <v>1075</v>
      </c>
      <c r="M1" s="574" t="s">
        <v>1075</v>
      </c>
      <c r="N1" s="574" t="s">
        <v>1075</v>
      </c>
      <c r="O1" s="574" t="s">
        <v>1075</v>
      </c>
      <c r="P1" s="574" t="s">
        <v>1075</v>
      </c>
      <c r="Q1" s="574" t="s">
        <v>1075</v>
      </c>
      <c r="R1" s="574" t="s">
        <v>1075</v>
      </c>
      <c r="S1" s="574" t="s">
        <v>1075</v>
      </c>
      <c r="T1" s="574" t="s">
        <v>1075</v>
      </c>
      <c r="U1" s="574" t="s">
        <v>1075</v>
      </c>
      <c r="V1" s="574" t="s">
        <v>1075</v>
      </c>
      <c r="W1" s="574" t="s">
        <v>1075</v>
      </c>
      <c r="X1" s="574" t="s">
        <v>1075</v>
      </c>
      <c r="Y1" s="574" t="s">
        <v>1075</v>
      </c>
      <c r="Z1" s="574" t="s">
        <v>1075</v>
      </c>
    </row>
    <row r="2" spans="1:26" ht="15" customHeight="1" x14ac:dyDescent="0.2">
      <c r="A2" s="392"/>
      <c r="B2" s="347"/>
      <c r="C2" s="347"/>
      <c r="D2" s="348"/>
      <c r="E2" s="348"/>
      <c r="J2" s="39"/>
    </row>
    <row r="3" spans="1:26" ht="15" customHeight="1" x14ac:dyDescent="0.2">
      <c r="A3" s="392"/>
      <c r="B3" s="347"/>
      <c r="C3" s="347"/>
      <c r="D3" s="348"/>
      <c r="E3" s="348"/>
      <c r="J3" s="39"/>
    </row>
    <row r="4" spans="1:26" ht="15" customHeight="1" x14ac:dyDescent="0.2">
      <c r="A4" s="347"/>
      <c r="B4" s="347"/>
      <c r="C4" s="347"/>
      <c r="D4" s="348"/>
      <c r="E4" s="348"/>
      <c r="J4" s="39"/>
    </row>
    <row r="5" spans="1:26" ht="15" customHeight="1" x14ac:dyDescent="0.2">
      <c r="A5" s="347"/>
      <c r="B5" s="347"/>
      <c r="C5" s="347"/>
      <c r="D5" s="348"/>
      <c r="E5" s="348"/>
      <c r="J5" s="39"/>
    </row>
    <row r="6" spans="1:26" ht="15" customHeight="1" x14ac:dyDescent="0.2">
      <c r="J6" s="39"/>
      <c r="L6" s="325"/>
      <c r="M6" s="325"/>
      <c r="N6" s="325"/>
    </row>
    <row r="7" spans="1:26" ht="15" customHeight="1" x14ac:dyDescent="0.2">
      <c r="A7" s="543" t="s">
        <v>611</v>
      </c>
      <c r="G7" s="31" t="s">
        <v>304</v>
      </c>
      <c r="J7" s="380" t="s">
        <v>47</v>
      </c>
      <c r="L7" s="325"/>
      <c r="M7" s="325"/>
      <c r="N7" s="325"/>
    </row>
    <row r="8" spans="1:26" ht="15" customHeight="1" x14ac:dyDescent="0.2">
      <c r="G8" s="31" t="s">
        <v>33</v>
      </c>
      <c r="J8" s="405" t="s">
        <v>47</v>
      </c>
      <c r="L8" s="325"/>
      <c r="M8" s="325"/>
      <c r="N8" s="325"/>
    </row>
    <row r="9" spans="1:26" ht="15" customHeight="1" x14ac:dyDescent="0.2">
      <c r="C9" s="39"/>
      <c r="D9" s="36"/>
      <c r="E9" s="36"/>
      <c r="F9" s="39"/>
      <c r="G9" s="31" t="s">
        <v>1070</v>
      </c>
      <c r="J9" s="405" t="s">
        <v>47</v>
      </c>
      <c r="L9" s="325"/>
      <c r="M9" s="325"/>
      <c r="N9" s="325"/>
    </row>
    <row r="10" spans="1:26" ht="15" customHeight="1" x14ac:dyDescent="0.2">
      <c r="A10" s="31" t="s">
        <v>463</v>
      </c>
      <c r="B10" s="39"/>
      <c r="C10" s="576">
        <f>'IS Analysis Adjustments'!AP1</f>
        <v>2015</v>
      </c>
      <c r="G10" s="39" t="s">
        <v>337</v>
      </c>
      <c r="H10" s="39"/>
      <c r="I10" s="39"/>
      <c r="J10" s="407">
        <f>'Oper Lease Adjust 5'!J10</f>
        <v>0.38524590163934425</v>
      </c>
      <c r="L10" s="325"/>
      <c r="M10" s="325"/>
      <c r="N10" s="325"/>
    </row>
    <row r="11" spans="1:26" ht="15" customHeight="1" x14ac:dyDescent="0.2">
      <c r="C11" s="36"/>
      <c r="D11" s="36"/>
      <c r="E11" s="36"/>
      <c r="F11" s="36"/>
      <c r="G11" s="39" t="s">
        <v>305</v>
      </c>
      <c r="H11" s="39"/>
      <c r="I11" s="39"/>
      <c r="J11" s="406">
        <f>'Oper Lease Adjust 5'!J11</f>
        <v>4.3999999999999997E-2</v>
      </c>
      <c r="L11" s="325"/>
      <c r="M11" s="325"/>
      <c r="N11" s="325"/>
    </row>
    <row r="12" spans="1:26" ht="15" customHeight="1" x14ac:dyDescent="0.2">
      <c r="B12" s="347"/>
      <c r="C12" s="378" t="s">
        <v>306</v>
      </c>
      <c r="D12" s="378"/>
      <c r="E12" s="378"/>
      <c r="F12" s="378"/>
      <c r="J12" s="33"/>
    </row>
    <row r="13" spans="1:26" ht="15" customHeight="1" x14ac:dyDescent="0.2">
      <c r="B13" s="351" t="s">
        <v>63</v>
      </c>
      <c r="C13" s="350" t="s">
        <v>110</v>
      </c>
      <c r="D13" s="350"/>
      <c r="E13" s="383" t="s">
        <v>307</v>
      </c>
      <c r="F13" s="383" t="s">
        <v>45</v>
      </c>
      <c r="I13" s="216"/>
    </row>
    <row r="14" spans="1:26" ht="15" customHeight="1" x14ac:dyDescent="0.2">
      <c r="A14" s="352">
        <v>1</v>
      </c>
      <c r="B14" s="382">
        <f>C10+1</f>
        <v>2016</v>
      </c>
      <c r="C14" s="1251">
        <v>253</v>
      </c>
      <c r="D14" s="66"/>
      <c r="E14" s="384" t="s">
        <v>464</v>
      </c>
      <c r="F14" s="384" t="s">
        <v>464</v>
      </c>
    </row>
    <row r="15" spans="1:26" ht="15" customHeight="1" x14ac:dyDescent="0.2">
      <c r="A15" s="352">
        <v>2</v>
      </c>
      <c r="B15" s="382">
        <f>B14+1</f>
        <v>2017</v>
      </c>
      <c r="C15" s="1252">
        <v>271</v>
      </c>
      <c r="D15" s="32"/>
      <c r="E15" s="270"/>
      <c r="F15" s="270"/>
    </row>
    <row r="16" spans="1:26" ht="15" customHeight="1" x14ac:dyDescent="0.2">
      <c r="A16" s="352">
        <v>3</v>
      </c>
      <c r="B16" s="382">
        <f>B15+1</f>
        <v>2018</v>
      </c>
      <c r="C16" s="1252">
        <v>277</v>
      </c>
      <c r="D16" s="32"/>
      <c r="E16" s="270"/>
      <c r="F16" s="270"/>
    </row>
    <row r="17" spans="1:14" ht="15" customHeight="1" x14ac:dyDescent="0.2">
      <c r="A17" s="352">
        <v>4</v>
      </c>
      <c r="B17" s="382">
        <f>B16+1</f>
        <v>2019</v>
      </c>
      <c r="C17" s="1252">
        <v>274</v>
      </c>
      <c r="D17" s="32"/>
      <c r="E17" s="270"/>
      <c r="F17" s="270"/>
    </row>
    <row r="18" spans="1:14" ht="15" customHeight="1" x14ac:dyDescent="0.2">
      <c r="A18" s="352">
        <v>5</v>
      </c>
      <c r="B18" s="382">
        <f>B17+1</f>
        <v>2020</v>
      </c>
      <c r="C18" s="1252">
        <v>255</v>
      </c>
      <c r="D18" s="353" t="s">
        <v>156</v>
      </c>
      <c r="E18" s="270"/>
      <c r="F18" s="270"/>
    </row>
    <row r="19" spans="1:14" ht="15" customHeight="1" x14ac:dyDescent="0.2">
      <c r="A19" s="354"/>
      <c r="B19" s="355" t="s">
        <v>112</v>
      </c>
      <c r="C19" s="1253">
        <v>1490</v>
      </c>
      <c r="D19" s="356" t="s">
        <v>155</v>
      </c>
      <c r="E19" s="270"/>
      <c r="F19" s="270"/>
    </row>
    <row r="20" spans="1:14" ht="15" customHeight="1" thickBot="1" x14ac:dyDescent="0.25">
      <c r="B20" s="352" t="s">
        <v>45</v>
      </c>
      <c r="C20" s="237">
        <f>SUM(C14:C19)</f>
        <v>2820</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6</v>
      </c>
    </row>
    <row r="23" spans="1:14" ht="15" customHeight="1" x14ac:dyDescent="0.2">
      <c r="A23" s="112" t="s">
        <v>466</v>
      </c>
      <c r="F23" s="358">
        <f>IF(A18+F22&gt;20,20,A18+F22)</f>
        <v>11</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ht="15" customHeight="1" x14ac:dyDescent="0.2">
      <c r="A28" s="1086" t="s">
        <v>423</v>
      </c>
      <c r="B28" s="1086" t="s">
        <v>424</v>
      </c>
      <c r="C28" s="1086"/>
      <c r="D28" s="1087"/>
      <c r="E28" s="1088"/>
      <c r="F28" s="1086" t="s">
        <v>425</v>
      </c>
      <c r="G28" s="1086"/>
      <c r="H28" s="1086" t="s">
        <v>426</v>
      </c>
      <c r="I28" s="1086"/>
      <c r="J28" s="1086" t="s">
        <v>427</v>
      </c>
      <c r="K28" s="1086" t="s">
        <v>428</v>
      </c>
      <c r="L28" s="325"/>
      <c r="M28" s="325"/>
      <c r="N28" s="325"/>
    </row>
    <row r="29" spans="1:14" ht="15" customHeight="1" x14ac:dyDescent="0.2">
      <c r="A29" s="1089" t="s">
        <v>429</v>
      </c>
      <c r="B29" s="1089" t="s">
        <v>430</v>
      </c>
      <c r="C29" s="1089"/>
      <c r="D29" s="1090"/>
      <c r="E29" s="1091"/>
      <c r="F29" s="1089" t="s">
        <v>431</v>
      </c>
      <c r="G29" s="1089" t="s">
        <v>432</v>
      </c>
      <c r="H29" s="1089" t="s">
        <v>433</v>
      </c>
      <c r="I29" s="1089" t="s">
        <v>114</v>
      </c>
      <c r="J29" s="1089" t="s">
        <v>434</v>
      </c>
      <c r="K29" s="1089" t="s">
        <v>435</v>
      </c>
      <c r="L29" s="325"/>
      <c r="M29" s="325"/>
      <c r="N29" s="325"/>
    </row>
    <row r="30" spans="1:14"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c r="L30" s="325"/>
      <c r="M30" s="325"/>
      <c r="N30" s="325"/>
    </row>
    <row r="31" spans="1:14" ht="15" customHeight="1" x14ac:dyDescent="0.2">
      <c r="A31" s="130">
        <v>0</v>
      </c>
      <c r="B31" s="386">
        <f>C10</f>
        <v>2015</v>
      </c>
      <c r="C31" s="111"/>
      <c r="D31" s="33"/>
      <c r="F31" s="33"/>
      <c r="G31" s="33"/>
      <c r="H31" s="365"/>
      <c r="I31" s="393">
        <f>F52</f>
        <v>2209.677889654502</v>
      </c>
      <c r="J31" s="393">
        <f>I31</f>
        <v>2209.677889654502</v>
      </c>
      <c r="K31" s="365"/>
      <c r="L31" s="325"/>
      <c r="M31" s="325"/>
      <c r="N31" s="325"/>
    </row>
    <row r="32" spans="1:14" ht="15" customHeight="1" x14ac:dyDescent="0.2">
      <c r="A32" s="1152">
        <v>1</v>
      </c>
      <c r="B32" s="855">
        <f t="shared" ref="B32:C36" si="0">B14</f>
        <v>2016</v>
      </c>
      <c r="C32" s="1151">
        <f t="shared" si="0"/>
        <v>253</v>
      </c>
      <c r="D32" s="365"/>
      <c r="E32" s="366">
        <f t="shared" ref="E32:E51" si="1">1/(1+J$11)^A32</f>
        <v>0.95785440613026818</v>
      </c>
      <c r="F32" s="388">
        <f>C32*E32</f>
        <v>242.33716475095784</v>
      </c>
      <c r="G32" s="389">
        <f>I31*J$11</f>
        <v>97.225827144798089</v>
      </c>
      <c r="H32" s="390">
        <f>C32-G32</f>
        <v>155.77417285520193</v>
      </c>
      <c r="I32" s="347">
        <f>I31-H32</f>
        <v>2053.9037167993001</v>
      </c>
      <c r="J32" s="365">
        <f>J31-K32</f>
        <v>2008.7980815040928</v>
      </c>
      <c r="K32" s="391">
        <f>IF(A32&gt;F$23,0,I$31/F$23)</f>
        <v>200.87980815040927</v>
      </c>
      <c r="L32" s="365"/>
      <c r="M32" s="365"/>
      <c r="N32" s="365"/>
    </row>
    <row r="33" spans="1:17" ht="15" customHeight="1" x14ac:dyDescent="0.2">
      <c r="A33" s="93">
        <v>2</v>
      </c>
      <c r="B33" s="855">
        <f t="shared" si="0"/>
        <v>2017</v>
      </c>
      <c r="C33" s="32">
        <f t="shared" si="0"/>
        <v>271</v>
      </c>
      <c r="E33" s="366">
        <f t="shared" si="1"/>
        <v>0.91748506334316871</v>
      </c>
      <c r="F33" s="365">
        <f>C33*E33</f>
        <v>248.63845216599873</v>
      </c>
      <c r="G33" s="372">
        <f>I32*J$11</f>
        <v>90.371763539169194</v>
      </c>
      <c r="H33" s="373">
        <f>C33-G33</f>
        <v>180.62823646083081</v>
      </c>
      <c r="I33" s="373">
        <f>I32-H33</f>
        <v>1873.2754803384694</v>
      </c>
      <c r="J33" s="365">
        <f t="shared" ref="J33:J51" si="2">J32-K33</f>
        <v>1807.9182733536836</v>
      </c>
      <c r="K33" s="373">
        <f>IF(A33&gt;F$23,0,I$31/F$23)</f>
        <v>200.87980815040927</v>
      </c>
    </row>
    <row r="34" spans="1:17" ht="15" customHeight="1" x14ac:dyDescent="0.2">
      <c r="A34" s="93">
        <v>3</v>
      </c>
      <c r="B34" s="855">
        <f t="shared" si="0"/>
        <v>2018</v>
      </c>
      <c r="C34" s="32">
        <f t="shared" si="0"/>
        <v>277</v>
      </c>
      <c r="E34" s="366">
        <f t="shared" si="1"/>
        <v>0.87881711048196232</v>
      </c>
      <c r="F34" s="365">
        <f t="shared" ref="F34:F51" si="3">C34*E34</f>
        <v>243.43233960350355</v>
      </c>
      <c r="G34" s="372">
        <f t="shared" ref="G34:G51" si="4">I33*J$11</f>
        <v>82.424121134892644</v>
      </c>
      <c r="H34" s="373">
        <f t="shared" ref="H34:H51" si="5">C34-G34</f>
        <v>194.57587886510737</v>
      </c>
      <c r="I34" s="373">
        <f t="shared" ref="I34:I51" si="6">I33-H34</f>
        <v>1678.699601473362</v>
      </c>
      <c r="J34" s="365">
        <f t="shared" si="2"/>
        <v>1607.0384652032744</v>
      </c>
      <c r="K34" s="373">
        <f t="shared" ref="K34:K51" si="7">IF(A34&gt;F$23,0,I$31/F$23)</f>
        <v>200.87980815040927</v>
      </c>
    </row>
    <row r="35" spans="1:17" s="31" customFormat="1" ht="15" customHeight="1" x14ac:dyDescent="0.2">
      <c r="A35" s="93">
        <v>4</v>
      </c>
      <c r="B35" s="855">
        <f t="shared" si="0"/>
        <v>2019</v>
      </c>
      <c r="C35" s="32">
        <f t="shared" si="0"/>
        <v>274</v>
      </c>
      <c r="E35" s="366">
        <f t="shared" si="1"/>
        <v>0.84177884145781834</v>
      </c>
      <c r="F35" s="365">
        <f t="shared" si="3"/>
        <v>230.64740255944221</v>
      </c>
      <c r="G35" s="372">
        <f t="shared" si="4"/>
        <v>73.86278246482793</v>
      </c>
      <c r="H35" s="373">
        <f t="shared" si="5"/>
        <v>200.13721753517206</v>
      </c>
      <c r="I35" s="373">
        <f t="shared" si="6"/>
        <v>1478.5623839381899</v>
      </c>
      <c r="J35" s="365">
        <f t="shared" si="2"/>
        <v>1406.1586570528652</v>
      </c>
      <c r="K35" s="373">
        <f t="shared" si="7"/>
        <v>200.87980815040927</v>
      </c>
      <c r="O35" s="325"/>
      <c r="P35" s="325"/>
      <c r="Q35" s="325"/>
    </row>
    <row r="36" spans="1:17" s="31" customFormat="1" ht="15" customHeight="1" x14ac:dyDescent="0.2">
      <c r="A36" s="93">
        <v>5</v>
      </c>
      <c r="B36" s="855">
        <f t="shared" si="0"/>
        <v>2020</v>
      </c>
      <c r="C36" s="32">
        <f t="shared" si="0"/>
        <v>255</v>
      </c>
      <c r="E36" s="366">
        <f t="shared" si="1"/>
        <v>0.8063015722776038</v>
      </c>
      <c r="F36" s="365">
        <f t="shared" si="3"/>
        <v>205.60690093078898</v>
      </c>
      <c r="G36" s="372">
        <f t="shared" si="4"/>
        <v>65.056744893280353</v>
      </c>
      <c r="H36" s="373">
        <f t="shared" si="5"/>
        <v>189.94325510671965</v>
      </c>
      <c r="I36" s="373">
        <f t="shared" si="6"/>
        <v>1288.6191288314703</v>
      </c>
      <c r="J36" s="365">
        <f t="shared" si="2"/>
        <v>1205.278848902456</v>
      </c>
      <c r="K36" s="373">
        <f t="shared" si="7"/>
        <v>200.87980815040927</v>
      </c>
      <c r="O36" s="325"/>
      <c r="P36" s="325"/>
      <c r="Q36" s="325"/>
    </row>
    <row r="37" spans="1:17" s="31" customFormat="1" ht="15" customHeight="1" x14ac:dyDescent="0.2">
      <c r="A37" s="93">
        <f t="shared" ref="A37:B51" si="8">A36+1</f>
        <v>6</v>
      </c>
      <c r="B37" s="855">
        <f>B36+1</f>
        <v>2021</v>
      </c>
      <c r="C37" s="1153">
        <f>IF(A37&gt;F$23,0,IF(A37=F$23,C$20-SUM(C$32:C36),C$18))</f>
        <v>255</v>
      </c>
      <c r="E37" s="366">
        <f t="shared" si="1"/>
        <v>0.7723195136758656</v>
      </c>
      <c r="F37" s="365">
        <f t="shared" si="3"/>
        <v>196.94147598734574</v>
      </c>
      <c r="G37" s="372">
        <f t="shared" si="4"/>
        <v>56.699241668584691</v>
      </c>
      <c r="H37" s="373">
        <f t="shared" si="5"/>
        <v>198.3007583314153</v>
      </c>
      <c r="I37" s="373">
        <f t="shared" si="6"/>
        <v>1090.3183705000552</v>
      </c>
      <c r="J37" s="365">
        <f t="shared" si="2"/>
        <v>1004.3990407520467</v>
      </c>
      <c r="K37" s="373">
        <f t="shared" si="7"/>
        <v>200.87980815040927</v>
      </c>
      <c r="O37" s="325"/>
      <c r="P37" s="325"/>
      <c r="Q37" s="325"/>
    </row>
    <row r="38" spans="1:17" s="31" customFormat="1" ht="15" customHeight="1" x14ac:dyDescent="0.2">
      <c r="A38" s="93">
        <f t="shared" si="8"/>
        <v>7</v>
      </c>
      <c r="B38" s="855">
        <f t="shared" si="8"/>
        <v>2022</v>
      </c>
      <c r="C38" s="1153">
        <f>IF(A38&gt;F$23,0,IF(A38=F$23,C$20-SUM(C$32:C37),C$18))</f>
        <v>255</v>
      </c>
      <c r="E38" s="366">
        <f t="shared" si="1"/>
        <v>0.7397696491148138</v>
      </c>
      <c r="F38" s="365">
        <f t="shared" si="3"/>
        <v>188.64126052427753</v>
      </c>
      <c r="G38" s="372">
        <f t="shared" si="4"/>
        <v>47.974008302002424</v>
      </c>
      <c r="H38" s="373">
        <f t="shared" si="5"/>
        <v>207.02599169799757</v>
      </c>
      <c r="I38" s="373">
        <f t="shared" si="6"/>
        <v>883.29237880205756</v>
      </c>
      <c r="J38" s="365">
        <f t="shared" si="2"/>
        <v>803.51923260163744</v>
      </c>
      <c r="K38" s="373">
        <f t="shared" si="7"/>
        <v>200.87980815040927</v>
      </c>
      <c r="O38" s="325"/>
      <c r="P38" s="325"/>
      <c r="Q38" s="325"/>
    </row>
    <row r="39" spans="1:17" s="31" customFormat="1" ht="15" customHeight="1" x14ac:dyDescent="0.2">
      <c r="A39" s="93">
        <f t="shared" si="8"/>
        <v>8</v>
      </c>
      <c r="B39" s="855">
        <f t="shared" si="8"/>
        <v>2023</v>
      </c>
      <c r="C39" s="1153">
        <f>IF(A39&gt;F$23,0,IF(A39=F$23,C$20-SUM(C$32:C38),C$18))</f>
        <v>255</v>
      </c>
      <c r="E39" s="366">
        <f t="shared" si="1"/>
        <v>0.70859161792606684</v>
      </c>
      <c r="F39" s="365">
        <f t="shared" si="3"/>
        <v>180.69086257114705</v>
      </c>
      <c r="G39" s="372">
        <f t="shared" si="4"/>
        <v>38.864864667290533</v>
      </c>
      <c r="H39" s="373">
        <f t="shared" si="5"/>
        <v>216.13513533270947</v>
      </c>
      <c r="I39" s="373">
        <f t="shared" si="6"/>
        <v>667.15724346934803</v>
      </c>
      <c r="J39" s="365">
        <f t="shared" si="2"/>
        <v>602.63942445122814</v>
      </c>
      <c r="K39" s="373">
        <f t="shared" si="7"/>
        <v>200.87980815040927</v>
      </c>
      <c r="O39" s="325"/>
      <c r="P39" s="325"/>
      <c r="Q39" s="325"/>
    </row>
    <row r="40" spans="1:17" s="31" customFormat="1" ht="15" customHeight="1" x14ac:dyDescent="0.2">
      <c r="A40" s="93">
        <f t="shared" si="8"/>
        <v>9</v>
      </c>
      <c r="B40" s="855">
        <f t="shared" si="8"/>
        <v>2024</v>
      </c>
      <c r="C40" s="1153">
        <f>IF(A40&gt;F$23,0,IF(A40=F$23,C$20-SUM(C$32:C39),C$18))</f>
        <v>255</v>
      </c>
      <c r="E40" s="366">
        <f t="shared" si="1"/>
        <v>0.67872760337745863</v>
      </c>
      <c r="F40" s="365">
        <f t="shared" si="3"/>
        <v>173.07553886125194</v>
      </c>
      <c r="G40" s="372">
        <f t="shared" si="4"/>
        <v>29.354918712651312</v>
      </c>
      <c r="H40" s="373">
        <f t="shared" si="5"/>
        <v>225.64508128734869</v>
      </c>
      <c r="I40" s="373">
        <f t="shared" si="6"/>
        <v>441.51216218199932</v>
      </c>
      <c r="J40" s="365">
        <f t="shared" si="2"/>
        <v>401.75961630081883</v>
      </c>
      <c r="K40" s="373">
        <f t="shared" si="7"/>
        <v>200.87980815040927</v>
      </c>
      <c r="O40" s="325"/>
      <c r="P40" s="325"/>
      <c r="Q40" s="325"/>
    </row>
    <row r="41" spans="1:17" s="31" customFormat="1" ht="15" customHeight="1" x14ac:dyDescent="0.2">
      <c r="A41" s="93">
        <f t="shared" si="8"/>
        <v>10</v>
      </c>
      <c r="B41" s="855">
        <f t="shared" si="8"/>
        <v>2025</v>
      </c>
      <c r="C41" s="1153">
        <f>IF(A41&gt;F$23,0,IF(A41=F$23,C$20-SUM(C$32:C40),C$18))</f>
        <v>255</v>
      </c>
      <c r="E41" s="366">
        <f t="shared" si="1"/>
        <v>0.65012222545733589</v>
      </c>
      <c r="F41" s="365">
        <f t="shared" si="3"/>
        <v>165.78116749162066</v>
      </c>
      <c r="G41" s="372">
        <f t="shared" si="4"/>
        <v>19.426535136007967</v>
      </c>
      <c r="H41" s="373">
        <f t="shared" si="5"/>
        <v>235.57346486399203</v>
      </c>
      <c r="I41" s="373">
        <f t="shared" si="6"/>
        <v>205.93869731800729</v>
      </c>
      <c r="J41" s="365">
        <f t="shared" si="2"/>
        <v>200.87980815040956</v>
      </c>
      <c r="K41" s="373">
        <f t="shared" si="7"/>
        <v>200.87980815040927</v>
      </c>
      <c r="O41" s="325"/>
      <c r="P41" s="325"/>
      <c r="Q41" s="325"/>
    </row>
    <row r="42" spans="1:17" s="31" customFormat="1" ht="15" customHeight="1" x14ac:dyDescent="0.2">
      <c r="A42" s="93">
        <f t="shared" si="8"/>
        <v>11</v>
      </c>
      <c r="B42" s="855">
        <f t="shared" si="8"/>
        <v>2026</v>
      </c>
      <c r="C42" s="1153">
        <f>IF(A42&gt;F$23,0,IF(A42=F$23,C$20-SUM(C$32:C41),C$18))</f>
        <v>215</v>
      </c>
      <c r="E42" s="366">
        <f t="shared" si="1"/>
        <v>0.62272243817752471</v>
      </c>
      <c r="F42" s="365">
        <f t="shared" si="3"/>
        <v>133.88532420816782</v>
      </c>
      <c r="G42" s="372">
        <f t="shared" si="4"/>
        <v>9.0613026819923199</v>
      </c>
      <c r="H42" s="373">
        <f t="shared" si="5"/>
        <v>205.93869731800768</v>
      </c>
      <c r="I42" s="373">
        <f t="shared" si="6"/>
        <v>-3.979039320256561E-13</v>
      </c>
      <c r="J42" s="365">
        <f t="shared" si="2"/>
        <v>2.8421709430404007E-13</v>
      </c>
      <c r="K42" s="373">
        <f t="shared" si="7"/>
        <v>200.87980815040927</v>
      </c>
      <c r="O42" s="325"/>
      <c r="P42" s="325"/>
      <c r="Q42" s="325"/>
    </row>
    <row r="43" spans="1:17" s="31" customFormat="1" ht="15" customHeight="1" x14ac:dyDescent="0.2">
      <c r="A43" s="93">
        <f t="shared" si="8"/>
        <v>12</v>
      </c>
      <c r="B43" s="855">
        <f t="shared" si="8"/>
        <v>2027</v>
      </c>
      <c r="C43" s="1153">
        <f>IF(A43&gt;F$23,0,IF(A43=F$23,C$20-SUM(C$32:C42),C$18))</f>
        <v>0</v>
      </c>
      <c r="E43" s="366">
        <f t="shared" si="1"/>
        <v>0.59647743120452557</v>
      </c>
      <c r="F43" s="365">
        <f t="shared" si="3"/>
        <v>0</v>
      </c>
      <c r="G43" s="372">
        <f t="shared" si="4"/>
        <v>-1.7507773009128868E-14</v>
      </c>
      <c r="H43" s="373">
        <f t="shared" si="5"/>
        <v>1.7507773009128868E-14</v>
      </c>
      <c r="I43" s="373">
        <f t="shared" si="6"/>
        <v>-4.1541170503478496E-13</v>
      </c>
      <c r="J43" s="365">
        <f t="shared" si="2"/>
        <v>2.8421709430404007E-13</v>
      </c>
      <c r="K43" s="373">
        <f t="shared" si="7"/>
        <v>0</v>
      </c>
      <c r="O43" s="325"/>
      <c r="P43" s="325"/>
      <c r="Q43" s="325"/>
    </row>
    <row r="44" spans="1:17" s="31" customFormat="1" ht="15" customHeight="1" x14ac:dyDescent="0.2">
      <c r="A44" s="93">
        <f t="shared" si="8"/>
        <v>13</v>
      </c>
      <c r="B44" s="855">
        <f t="shared" si="8"/>
        <v>2028</v>
      </c>
      <c r="C44" s="1153">
        <f>IF(A44&gt;F$23,0,IF(A44=F$23,C$20-SUM(C$32:C43),C$18))</f>
        <v>0</v>
      </c>
      <c r="E44" s="366">
        <f t="shared" si="1"/>
        <v>0.57133853563651882</v>
      </c>
      <c r="F44" s="365">
        <f t="shared" si="3"/>
        <v>0</v>
      </c>
      <c r="G44" s="372">
        <f t="shared" si="4"/>
        <v>-1.8278115021530536E-14</v>
      </c>
      <c r="H44" s="373">
        <f t="shared" si="5"/>
        <v>1.8278115021530536E-14</v>
      </c>
      <c r="I44" s="373">
        <f t="shared" si="6"/>
        <v>-4.3368982005631548E-13</v>
      </c>
      <c r="J44" s="365">
        <f t="shared" si="2"/>
        <v>2.8421709430404007E-13</v>
      </c>
      <c r="K44" s="373">
        <f t="shared" si="7"/>
        <v>0</v>
      </c>
      <c r="O44" s="325"/>
      <c r="P44" s="325"/>
      <c r="Q44" s="325"/>
    </row>
    <row r="45" spans="1:17" s="31" customFormat="1" ht="15" customHeight="1" x14ac:dyDescent="0.2">
      <c r="A45" s="93">
        <f t="shared" si="8"/>
        <v>14</v>
      </c>
      <c r="B45" s="855">
        <f t="shared" si="8"/>
        <v>2029</v>
      </c>
      <c r="C45" s="1153">
        <f>IF(A45&gt;F$23,0,IF(A45=F$23,C$20-SUM(C$32:C44),C$18))</f>
        <v>0</v>
      </c>
      <c r="E45" s="366">
        <f t="shared" si="1"/>
        <v>0.54725913375145474</v>
      </c>
      <c r="F45" s="365">
        <f t="shared" si="3"/>
        <v>0</v>
      </c>
      <c r="G45" s="372">
        <f t="shared" si="4"/>
        <v>-1.908235208247788E-14</v>
      </c>
      <c r="H45" s="373">
        <f t="shared" si="5"/>
        <v>1.908235208247788E-14</v>
      </c>
      <c r="I45" s="373">
        <f t="shared" si="6"/>
        <v>-4.5277217213879336E-13</v>
      </c>
      <c r="J45" s="365">
        <f t="shared" si="2"/>
        <v>2.8421709430404007E-13</v>
      </c>
      <c r="K45" s="373">
        <f t="shared" si="7"/>
        <v>0</v>
      </c>
      <c r="O45" s="325"/>
      <c r="P45" s="325"/>
      <c r="Q45" s="325"/>
    </row>
    <row r="46" spans="1:17" s="31" customFormat="1" ht="15" customHeight="1" x14ac:dyDescent="0.2">
      <c r="A46" s="93">
        <f t="shared" si="8"/>
        <v>15</v>
      </c>
      <c r="B46" s="855">
        <f t="shared" si="8"/>
        <v>2030</v>
      </c>
      <c r="C46" s="1153">
        <f>IF(A46&gt;F$23,0,IF(A46=F$23,C$20-SUM(C$32:C45),C$18))</f>
        <v>0</v>
      </c>
      <c r="E46" s="366">
        <f t="shared" si="1"/>
        <v>0.52419457255886459</v>
      </c>
      <c r="F46" s="365">
        <f t="shared" si="3"/>
        <v>0</v>
      </c>
      <c r="G46" s="372">
        <f t="shared" si="4"/>
        <v>-1.9921975574106906E-14</v>
      </c>
      <c r="H46" s="373">
        <f t="shared" si="5"/>
        <v>1.9921975574106906E-14</v>
      </c>
      <c r="I46" s="373">
        <f t="shared" si="6"/>
        <v>-4.7269414771290028E-13</v>
      </c>
      <c r="J46" s="365">
        <f t="shared" si="2"/>
        <v>2.8421709430404007E-13</v>
      </c>
      <c r="K46" s="373">
        <f t="shared" si="7"/>
        <v>0</v>
      </c>
      <c r="O46" s="325"/>
      <c r="P46" s="325"/>
      <c r="Q46" s="325"/>
    </row>
    <row r="47" spans="1:17" s="31" customFormat="1" ht="15" customHeight="1" x14ac:dyDescent="0.2">
      <c r="A47" s="93">
        <f t="shared" si="8"/>
        <v>16</v>
      </c>
      <c r="B47" s="855">
        <f t="shared" si="8"/>
        <v>2031</v>
      </c>
      <c r="C47" s="1153">
        <f>IF(A47&gt;F$23,0,IF(A47=F$23,C$20-SUM(C$32:C46),C$18))</f>
        <v>0</v>
      </c>
      <c r="E47" s="366">
        <f t="shared" si="1"/>
        <v>0.50210208099508113</v>
      </c>
      <c r="F47" s="365">
        <f t="shared" si="3"/>
        <v>0</v>
      </c>
      <c r="G47" s="372">
        <f t="shared" si="4"/>
        <v>-2.0798542499367612E-14</v>
      </c>
      <c r="H47" s="373">
        <f t="shared" si="5"/>
        <v>2.0798542499367612E-14</v>
      </c>
      <c r="I47" s="373">
        <f t="shared" si="6"/>
        <v>-4.9349269021226786E-13</v>
      </c>
      <c r="J47" s="365">
        <f t="shared" si="2"/>
        <v>2.8421709430404007E-13</v>
      </c>
      <c r="K47" s="373">
        <f t="shared" si="7"/>
        <v>0</v>
      </c>
      <c r="O47" s="325"/>
      <c r="P47" s="325"/>
      <c r="Q47" s="325"/>
    </row>
    <row r="48" spans="1:17" s="31" customFormat="1" ht="15" customHeight="1" x14ac:dyDescent="0.2">
      <c r="A48" s="93">
        <f t="shared" si="8"/>
        <v>17</v>
      </c>
      <c r="B48" s="855">
        <f t="shared" si="8"/>
        <v>2032</v>
      </c>
      <c r="C48" s="1153">
        <f>IF(A48&gt;F$23,0,IF(A48=F$23,C$20-SUM(C$32:C47),C$18))</f>
        <v>0</v>
      </c>
      <c r="E48" s="366">
        <f t="shared" si="1"/>
        <v>0.48094069060831529</v>
      </c>
      <c r="F48" s="365">
        <f t="shared" si="3"/>
        <v>0</v>
      </c>
      <c r="G48" s="372">
        <f t="shared" si="4"/>
        <v>-2.1713678369339785E-14</v>
      </c>
      <c r="H48" s="373">
        <f t="shared" si="5"/>
        <v>2.1713678369339785E-14</v>
      </c>
      <c r="I48" s="373">
        <f t="shared" si="6"/>
        <v>-5.1520636858160766E-13</v>
      </c>
      <c r="J48" s="365">
        <f t="shared" si="2"/>
        <v>2.8421709430404007E-13</v>
      </c>
      <c r="K48" s="373">
        <f t="shared" si="7"/>
        <v>0</v>
      </c>
      <c r="O48" s="325"/>
      <c r="P48" s="325"/>
      <c r="Q48" s="325"/>
    </row>
    <row r="49" spans="1:17" s="31" customFormat="1" ht="15" customHeight="1" x14ac:dyDescent="0.2">
      <c r="A49" s="93">
        <f t="shared" si="8"/>
        <v>18</v>
      </c>
      <c r="B49" s="855">
        <f t="shared" si="8"/>
        <v>2033</v>
      </c>
      <c r="C49" s="1153">
        <f>IF(A49&gt;F$23,0,IF(A49=F$23,C$20-SUM(C$32:C48),C$18))</f>
        <v>0</v>
      </c>
      <c r="E49" s="366">
        <f t="shared" si="1"/>
        <v>0.46067115958650884</v>
      </c>
      <c r="F49" s="365">
        <f t="shared" si="3"/>
        <v>0</v>
      </c>
      <c r="G49" s="372">
        <f t="shared" si="4"/>
        <v>-2.2669080217590735E-14</v>
      </c>
      <c r="H49" s="373">
        <f t="shared" si="5"/>
        <v>2.2669080217590735E-14</v>
      </c>
      <c r="I49" s="373">
        <f t="shared" si="6"/>
        <v>-5.3787544879919843E-13</v>
      </c>
      <c r="J49" s="365">
        <f t="shared" si="2"/>
        <v>2.8421709430404007E-13</v>
      </c>
      <c r="K49" s="373">
        <f t="shared" si="7"/>
        <v>0</v>
      </c>
      <c r="O49" s="325"/>
      <c r="P49" s="325"/>
      <c r="Q49" s="325"/>
    </row>
    <row r="50" spans="1:17" s="31" customFormat="1" ht="15" customHeight="1" x14ac:dyDescent="0.2">
      <c r="A50" s="93">
        <f t="shared" si="8"/>
        <v>19</v>
      </c>
      <c r="B50" s="855">
        <f t="shared" si="8"/>
        <v>2034</v>
      </c>
      <c r="C50" s="1153">
        <f>IF(A50&gt;F$23,0,IF(A50=F$23,C$20-SUM(C$32:C49),C$18))</f>
        <v>0</v>
      </c>
      <c r="E50" s="366">
        <f t="shared" si="1"/>
        <v>0.44125589998707743</v>
      </c>
      <c r="F50" s="365">
        <f t="shared" si="3"/>
        <v>0</v>
      </c>
      <c r="G50" s="372">
        <f t="shared" si="4"/>
        <v>-2.3666519747164728E-14</v>
      </c>
      <c r="H50" s="373">
        <f t="shared" si="5"/>
        <v>2.3666519747164728E-14</v>
      </c>
      <c r="I50" s="373">
        <f t="shared" si="6"/>
        <v>-5.6154196854636319E-13</v>
      </c>
      <c r="J50" s="365">
        <f t="shared" si="2"/>
        <v>2.8421709430404007E-13</v>
      </c>
      <c r="K50" s="373">
        <f t="shared" si="7"/>
        <v>0</v>
      </c>
      <c r="O50" s="325"/>
      <c r="P50" s="325"/>
      <c r="Q50" s="325"/>
    </row>
    <row r="51" spans="1:17" ht="15" customHeight="1" x14ac:dyDescent="0.2">
      <c r="A51" s="93">
        <f t="shared" si="8"/>
        <v>20</v>
      </c>
      <c r="B51" s="855">
        <f t="shared" si="8"/>
        <v>2035</v>
      </c>
      <c r="C51" s="1153">
        <f>IF(A51&gt;F$23,0,IF(A51=F$23,C$20-SUM(C$32:C50),C$18))</f>
        <v>0</v>
      </c>
      <c r="E51" s="366">
        <f t="shared" si="1"/>
        <v>0.42265890803359907</v>
      </c>
      <c r="F51" s="365">
        <f t="shared" si="3"/>
        <v>0</v>
      </c>
      <c r="G51" s="372">
        <f t="shared" si="4"/>
        <v>-2.4707846616039981E-14</v>
      </c>
      <c r="H51" s="373">
        <f t="shared" si="5"/>
        <v>2.4707846616039981E-14</v>
      </c>
      <c r="I51" s="373">
        <f t="shared" si="6"/>
        <v>-5.8624981516240313E-13</v>
      </c>
      <c r="J51" s="365">
        <f t="shared" si="2"/>
        <v>2.8421709430404007E-13</v>
      </c>
      <c r="K51" s="373">
        <f t="shared" si="7"/>
        <v>0</v>
      </c>
    </row>
    <row r="52" spans="1:17" ht="15" customHeight="1" thickBot="1" x14ac:dyDescent="0.25">
      <c r="A52" s="352" t="s">
        <v>441</v>
      </c>
      <c r="C52" s="387">
        <f>SUM(C32:C51)</f>
        <v>2820</v>
      </c>
      <c r="F52" s="387">
        <f>SUM(F32:F51)</f>
        <v>2209.677889654502</v>
      </c>
      <c r="G52" s="387">
        <f>SUM(G32:G51)</f>
        <v>610.32211034549732</v>
      </c>
      <c r="H52" s="387">
        <f>SUM(H32:H51)</f>
        <v>2209.6778896545025</v>
      </c>
      <c r="I52" s="120"/>
      <c r="J52" s="120"/>
      <c r="K52" s="387">
        <f>SUM(K32:K51)</f>
        <v>2209.6778896545015</v>
      </c>
    </row>
    <row r="53" spans="1:17" ht="15" customHeight="1" x14ac:dyDescent="0.2">
      <c r="I53" s="33"/>
    </row>
    <row r="54" spans="1:17" ht="15" customHeight="1" x14ac:dyDescent="0.2">
      <c r="A54" s="359" t="s">
        <v>442</v>
      </c>
      <c r="B54" s="359" t="s">
        <v>443</v>
      </c>
      <c r="C54" s="367" t="s">
        <v>444</v>
      </c>
      <c r="D54" s="368"/>
      <c r="E54" s="359" t="s">
        <v>445</v>
      </c>
      <c r="F54" s="359" t="s">
        <v>446</v>
      </c>
      <c r="G54" s="359" t="s">
        <v>447</v>
      </c>
      <c r="H54" s="359" t="s">
        <v>448</v>
      </c>
      <c r="I54" s="325"/>
      <c r="J54" s="325"/>
      <c r="K54" s="325"/>
    </row>
    <row r="55" spans="1:17" ht="15" customHeight="1" x14ac:dyDescent="0.2">
      <c r="A55" s="362" t="s">
        <v>449</v>
      </c>
      <c r="B55" s="362" t="s">
        <v>450</v>
      </c>
      <c r="C55" s="369" t="s">
        <v>451</v>
      </c>
      <c r="D55" s="370"/>
      <c r="E55" s="371" t="s">
        <v>452</v>
      </c>
      <c r="F55" s="371" t="s">
        <v>453</v>
      </c>
      <c r="G55" s="371" t="s">
        <v>454</v>
      </c>
      <c r="H55" s="371" t="s">
        <v>455</v>
      </c>
      <c r="I55" s="325"/>
      <c r="J55" s="325"/>
      <c r="K55" s="325"/>
    </row>
    <row r="56" spans="1:17" ht="15" customHeight="1" x14ac:dyDescent="0.2">
      <c r="A56" s="1086" t="s">
        <v>424</v>
      </c>
      <c r="B56" s="1095" t="s">
        <v>60</v>
      </c>
      <c r="C56" s="1098" t="s">
        <v>59</v>
      </c>
      <c r="D56" s="1099"/>
      <c r="E56" s="1100"/>
      <c r="F56" s="1101"/>
      <c r="G56" s="1102" t="s">
        <v>456</v>
      </c>
      <c r="H56" s="1101"/>
      <c r="I56" s="325"/>
      <c r="J56" s="325"/>
      <c r="K56" s="325"/>
    </row>
    <row r="57" spans="1:17" ht="15" customHeight="1" x14ac:dyDescent="0.2">
      <c r="A57" s="1089" t="s">
        <v>430</v>
      </c>
      <c r="B57" s="1096" t="s">
        <v>457</v>
      </c>
      <c r="C57" s="1090" t="s">
        <v>113</v>
      </c>
      <c r="D57" s="1091"/>
      <c r="E57" s="1089" t="s">
        <v>72</v>
      </c>
      <c r="F57" s="1089" t="s">
        <v>45</v>
      </c>
      <c r="G57" s="1089" t="s">
        <v>458</v>
      </c>
      <c r="H57" s="1089" t="s">
        <v>459</v>
      </c>
      <c r="I57" s="325"/>
      <c r="J57" s="325"/>
      <c r="K57" s="325"/>
    </row>
    <row r="58" spans="1:17" ht="15" customHeight="1" x14ac:dyDescent="0.2">
      <c r="A58" s="1092" t="s">
        <v>429</v>
      </c>
      <c r="B58" s="1097" t="s">
        <v>460</v>
      </c>
      <c r="C58" s="1093" t="s">
        <v>115</v>
      </c>
      <c r="D58" s="1094"/>
      <c r="E58" s="1092" t="s">
        <v>115</v>
      </c>
      <c r="F58" s="1092" t="s">
        <v>115</v>
      </c>
      <c r="G58" s="1092" t="s">
        <v>461</v>
      </c>
      <c r="H58" s="1092" t="s">
        <v>461</v>
      </c>
    </row>
    <row r="59" spans="1:17" ht="15" customHeight="1" x14ac:dyDescent="0.2">
      <c r="A59" s="394">
        <f>B32</f>
        <v>2016</v>
      </c>
      <c r="B59" s="411">
        <f>C32</f>
        <v>253</v>
      </c>
      <c r="C59" s="390">
        <f>G32</f>
        <v>97.225827144798089</v>
      </c>
      <c r="D59" s="390"/>
      <c r="E59" s="390">
        <f>K32</f>
        <v>200.87980815040927</v>
      </c>
      <c r="F59" s="390">
        <f>C59+E59</f>
        <v>298.10563529520738</v>
      </c>
      <c r="G59" s="390">
        <f>F59-B59</f>
        <v>45.105635295207378</v>
      </c>
      <c r="H59" s="390">
        <f t="shared" ref="H59:H78" si="9">G59*(1-J$10)</f>
        <v>27.728874156889784</v>
      </c>
    </row>
    <row r="60" spans="1:17" ht="15" customHeight="1" x14ac:dyDescent="0.2">
      <c r="A60" s="395">
        <f>B33</f>
        <v>2017</v>
      </c>
      <c r="B60" s="410">
        <f>C33</f>
        <v>271</v>
      </c>
      <c r="C60" s="373">
        <f>G33</f>
        <v>90.371763539169194</v>
      </c>
      <c r="D60" s="373"/>
      <c r="E60" s="373">
        <f>K33</f>
        <v>200.87980815040927</v>
      </c>
      <c r="F60" s="373">
        <f>C60+E60</f>
        <v>291.25157168957844</v>
      </c>
      <c r="G60" s="373">
        <f t="shared" ref="G60:G78" si="10">F60-B60</f>
        <v>20.251571689578441</v>
      </c>
      <c r="H60" s="373">
        <f t="shared" si="9"/>
        <v>12.449736694412977</v>
      </c>
    </row>
    <row r="61" spans="1:17" ht="15" customHeight="1" x14ac:dyDescent="0.2">
      <c r="A61" s="395">
        <f t="shared" ref="A61:B76" si="11">B34</f>
        <v>2018</v>
      </c>
      <c r="B61" s="410">
        <f t="shared" si="11"/>
        <v>277</v>
      </c>
      <c r="C61" s="373">
        <f t="shared" ref="C61:C78" si="12">G34</f>
        <v>82.424121134892644</v>
      </c>
      <c r="D61" s="373"/>
      <c r="E61" s="373">
        <f t="shared" ref="E61:E78" si="13">K34</f>
        <v>200.87980815040927</v>
      </c>
      <c r="F61" s="373">
        <f t="shared" ref="F61:F78" si="14">C61+E61</f>
        <v>283.30392928530193</v>
      </c>
      <c r="G61" s="373">
        <f t="shared" si="10"/>
        <v>6.3039292853019333</v>
      </c>
      <c r="H61" s="373">
        <f t="shared" si="9"/>
        <v>3.875366363915123</v>
      </c>
      <c r="L61" s="325"/>
      <c r="M61" s="325"/>
      <c r="N61" s="325"/>
    </row>
    <row r="62" spans="1:17" ht="15" customHeight="1" x14ac:dyDescent="0.2">
      <c r="A62" s="395">
        <f t="shared" si="11"/>
        <v>2019</v>
      </c>
      <c r="B62" s="410">
        <f t="shared" si="11"/>
        <v>274</v>
      </c>
      <c r="C62" s="373">
        <f t="shared" si="12"/>
        <v>73.86278246482793</v>
      </c>
      <c r="D62" s="373"/>
      <c r="E62" s="373">
        <f t="shared" si="13"/>
        <v>200.87980815040927</v>
      </c>
      <c r="F62" s="373">
        <f t="shared" si="14"/>
        <v>274.74259061523719</v>
      </c>
      <c r="G62" s="373">
        <f t="shared" si="10"/>
        <v>0.74259061523719083</v>
      </c>
      <c r="H62" s="373">
        <f t="shared" si="9"/>
        <v>0.4565106241212239</v>
      </c>
      <c r="L62" s="325"/>
      <c r="M62" s="325"/>
      <c r="N62" s="325"/>
    </row>
    <row r="63" spans="1:17" ht="15" customHeight="1" x14ac:dyDescent="0.2">
      <c r="A63" s="395">
        <f t="shared" si="11"/>
        <v>2020</v>
      </c>
      <c r="B63" s="410">
        <f t="shared" si="11"/>
        <v>255</v>
      </c>
      <c r="C63" s="373">
        <f t="shared" si="12"/>
        <v>65.056744893280353</v>
      </c>
      <c r="D63" s="373"/>
      <c r="E63" s="373">
        <f t="shared" si="13"/>
        <v>200.87980815040927</v>
      </c>
      <c r="F63" s="373">
        <f t="shared" si="14"/>
        <v>265.93655304368963</v>
      </c>
      <c r="G63" s="373">
        <f t="shared" si="10"/>
        <v>10.936553043689628</v>
      </c>
      <c r="H63" s="373">
        <f t="shared" si="9"/>
        <v>6.7232908055469025</v>
      </c>
      <c r="L63" s="325"/>
      <c r="M63" s="325"/>
      <c r="N63" s="325"/>
    </row>
    <row r="64" spans="1:17" ht="15" customHeight="1" x14ac:dyDescent="0.2">
      <c r="A64" s="395">
        <f t="shared" si="11"/>
        <v>2021</v>
      </c>
      <c r="B64" s="410">
        <f t="shared" si="11"/>
        <v>255</v>
      </c>
      <c r="C64" s="373">
        <f t="shared" si="12"/>
        <v>56.699241668584691</v>
      </c>
      <c r="D64" s="373"/>
      <c r="E64" s="373">
        <f t="shared" si="13"/>
        <v>200.87980815040927</v>
      </c>
      <c r="F64" s="373">
        <f t="shared" si="14"/>
        <v>257.57904981899395</v>
      </c>
      <c r="G64" s="373">
        <f t="shared" si="10"/>
        <v>2.5790498189939512</v>
      </c>
      <c r="H64" s="373">
        <f t="shared" si="9"/>
        <v>1.585481446102839</v>
      </c>
      <c r="L64" s="325"/>
      <c r="M64" s="325"/>
      <c r="N64" s="325"/>
    </row>
    <row r="65" spans="1:17" ht="15" customHeight="1" x14ac:dyDescent="0.2">
      <c r="A65" s="395">
        <f t="shared" si="11"/>
        <v>2022</v>
      </c>
      <c r="B65" s="410">
        <f t="shared" si="11"/>
        <v>255</v>
      </c>
      <c r="C65" s="373">
        <f t="shared" si="12"/>
        <v>47.974008302002424</v>
      </c>
      <c r="D65" s="373"/>
      <c r="E65" s="373">
        <f t="shared" si="13"/>
        <v>200.87980815040927</v>
      </c>
      <c r="F65" s="373">
        <f t="shared" si="14"/>
        <v>248.85381645241171</v>
      </c>
      <c r="G65" s="373">
        <f t="shared" si="10"/>
        <v>-6.1461835475882935</v>
      </c>
      <c r="H65" s="373">
        <f t="shared" si="9"/>
        <v>-3.7783915251567382</v>
      </c>
      <c r="L65" s="325"/>
      <c r="M65" s="325"/>
      <c r="N65" s="325"/>
    </row>
    <row r="66" spans="1:17" ht="15" customHeight="1" x14ac:dyDescent="0.2">
      <c r="A66" s="395">
        <f t="shared" si="11"/>
        <v>2023</v>
      </c>
      <c r="B66" s="410">
        <f t="shared" si="11"/>
        <v>255</v>
      </c>
      <c r="C66" s="373">
        <f t="shared" si="12"/>
        <v>38.864864667290533</v>
      </c>
      <c r="D66" s="373"/>
      <c r="E66" s="373">
        <f t="shared" si="13"/>
        <v>200.87980815040927</v>
      </c>
      <c r="F66" s="373">
        <f t="shared" si="14"/>
        <v>239.74467281769981</v>
      </c>
      <c r="G66" s="373">
        <f t="shared" si="10"/>
        <v>-15.255327182300192</v>
      </c>
      <c r="H66" s="373">
        <f t="shared" si="9"/>
        <v>-9.3782749071517575</v>
      </c>
    </row>
    <row r="67" spans="1:17" s="31" customFormat="1" ht="15" customHeight="1" x14ac:dyDescent="0.2">
      <c r="A67" s="395">
        <f t="shared" si="11"/>
        <v>2024</v>
      </c>
      <c r="B67" s="410">
        <f t="shared" si="11"/>
        <v>255</v>
      </c>
      <c r="C67" s="373">
        <f t="shared" si="12"/>
        <v>29.354918712651312</v>
      </c>
      <c r="D67" s="373"/>
      <c r="E67" s="373">
        <f t="shared" si="13"/>
        <v>200.87980815040927</v>
      </c>
      <c r="F67" s="373">
        <f t="shared" si="14"/>
        <v>230.23472686306059</v>
      </c>
      <c r="G67" s="373">
        <f t="shared" si="10"/>
        <v>-24.765273136939413</v>
      </c>
      <c r="H67" s="373">
        <f t="shared" si="9"/>
        <v>-15.224553157954558</v>
      </c>
      <c r="O67" s="325"/>
      <c r="P67" s="325"/>
      <c r="Q67" s="325"/>
    </row>
    <row r="68" spans="1:17" s="31" customFormat="1" ht="15" customHeight="1" x14ac:dyDescent="0.2">
      <c r="A68" s="395">
        <f t="shared" si="11"/>
        <v>2025</v>
      </c>
      <c r="B68" s="410">
        <f t="shared" si="11"/>
        <v>255</v>
      </c>
      <c r="C68" s="373">
        <f t="shared" si="12"/>
        <v>19.426535136007967</v>
      </c>
      <c r="D68" s="373"/>
      <c r="E68" s="373">
        <f t="shared" si="13"/>
        <v>200.87980815040927</v>
      </c>
      <c r="F68" s="373">
        <f t="shared" si="14"/>
        <v>220.30634328641725</v>
      </c>
      <c r="G68" s="373">
        <f t="shared" si="10"/>
        <v>-34.693656713582754</v>
      </c>
      <c r="H68" s="373">
        <f t="shared" si="9"/>
        <v>-21.328067651792679</v>
      </c>
      <c r="O68" s="325"/>
      <c r="P68" s="325"/>
      <c r="Q68" s="325"/>
    </row>
    <row r="69" spans="1:17" s="31" customFormat="1" ht="15" customHeight="1" x14ac:dyDescent="0.2">
      <c r="A69" s="395">
        <f t="shared" si="11"/>
        <v>2026</v>
      </c>
      <c r="B69" s="410">
        <f t="shared" si="11"/>
        <v>215</v>
      </c>
      <c r="C69" s="373">
        <f t="shared" si="12"/>
        <v>9.0613026819923199</v>
      </c>
      <c r="D69" s="373"/>
      <c r="E69" s="373">
        <f t="shared" si="13"/>
        <v>200.87980815040927</v>
      </c>
      <c r="F69" s="373">
        <f t="shared" si="14"/>
        <v>209.94111083240159</v>
      </c>
      <c r="G69" s="373">
        <f t="shared" si="10"/>
        <v>-5.0588891675984087</v>
      </c>
      <c r="H69" s="373">
        <f t="shared" si="9"/>
        <v>-3.1099728489334479</v>
      </c>
      <c r="O69" s="325"/>
      <c r="P69" s="325"/>
      <c r="Q69" s="325"/>
    </row>
    <row r="70" spans="1:17" s="31" customFormat="1" ht="15" customHeight="1" x14ac:dyDescent="0.2">
      <c r="A70" s="395">
        <f t="shared" si="11"/>
        <v>2027</v>
      </c>
      <c r="B70" s="410">
        <f t="shared" si="11"/>
        <v>0</v>
      </c>
      <c r="C70" s="373">
        <f t="shared" si="12"/>
        <v>-1.7507773009128868E-14</v>
      </c>
      <c r="D70" s="373"/>
      <c r="E70" s="373">
        <f t="shared" si="13"/>
        <v>0</v>
      </c>
      <c r="F70" s="373">
        <f t="shared" si="14"/>
        <v>-1.7507773009128868E-14</v>
      </c>
      <c r="G70" s="373">
        <f t="shared" si="10"/>
        <v>-1.7507773009128868E-14</v>
      </c>
      <c r="H70" s="373">
        <f t="shared" si="9"/>
        <v>-1.0762975210530042E-14</v>
      </c>
      <c r="O70" s="325"/>
      <c r="P70" s="325"/>
      <c r="Q70" s="325"/>
    </row>
    <row r="71" spans="1:17" s="31" customFormat="1" ht="15" customHeight="1" x14ac:dyDescent="0.2">
      <c r="A71" s="395">
        <f t="shared" si="11"/>
        <v>2028</v>
      </c>
      <c r="B71" s="410">
        <f t="shared" si="11"/>
        <v>0</v>
      </c>
      <c r="C71" s="373">
        <f t="shared" si="12"/>
        <v>-1.8278115021530536E-14</v>
      </c>
      <c r="D71" s="373"/>
      <c r="E71" s="373">
        <f t="shared" si="13"/>
        <v>0</v>
      </c>
      <c r="F71" s="373">
        <f t="shared" si="14"/>
        <v>-1.8278115021530536E-14</v>
      </c>
      <c r="G71" s="373">
        <f t="shared" si="10"/>
        <v>-1.8278115021530536E-14</v>
      </c>
      <c r="H71" s="373">
        <f t="shared" si="9"/>
        <v>-1.1236546119793362E-14</v>
      </c>
      <c r="O71" s="325"/>
      <c r="P71" s="325"/>
      <c r="Q71" s="325"/>
    </row>
    <row r="72" spans="1:17" s="31" customFormat="1" ht="15" customHeight="1" x14ac:dyDescent="0.2">
      <c r="A72" s="395">
        <f t="shared" si="11"/>
        <v>2029</v>
      </c>
      <c r="B72" s="410">
        <f t="shared" si="11"/>
        <v>0</v>
      </c>
      <c r="C72" s="373">
        <f t="shared" si="12"/>
        <v>-1.908235208247788E-14</v>
      </c>
      <c r="D72" s="373"/>
      <c r="E72" s="373">
        <f t="shared" si="13"/>
        <v>0</v>
      </c>
      <c r="F72" s="373">
        <f t="shared" si="14"/>
        <v>-1.908235208247788E-14</v>
      </c>
      <c r="G72" s="373">
        <f t="shared" si="10"/>
        <v>-1.908235208247788E-14</v>
      </c>
      <c r="H72" s="373">
        <f t="shared" si="9"/>
        <v>-1.1730954149064272E-14</v>
      </c>
      <c r="O72" s="325"/>
      <c r="P72" s="325"/>
      <c r="Q72" s="325"/>
    </row>
    <row r="73" spans="1:17" s="31" customFormat="1" ht="15" customHeight="1" x14ac:dyDescent="0.2">
      <c r="A73" s="395">
        <f t="shared" si="11"/>
        <v>2030</v>
      </c>
      <c r="B73" s="410">
        <f t="shared" si="11"/>
        <v>0</v>
      </c>
      <c r="C73" s="373">
        <f t="shared" si="12"/>
        <v>-1.9921975574106906E-14</v>
      </c>
      <c r="D73" s="373"/>
      <c r="E73" s="373">
        <f t="shared" si="13"/>
        <v>0</v>
      </c>
      <c r="F73" s="373">
        <f t="shared" si="14"/>
        <v>-1.9921975574106906E-14</v>
      </c>
      <c r="G73" s="373">
        <f t="shared" si="10"/>
        <v>-1.9921975574106906E-14</v>
      </c>
      <c r="H73" s="373">
        <f t="shared" si="9"/>
        <v>-1.2247116131623099E-14</v>
      </c>
      <c r="O73" s="325"/>
      <c r="P73" s="325"/>
      <c r="Q73" s="325"/>
    </row>
    <row r="74" spans="1:17" s="31" customFormat="1" ht="15" customHeight="1" x14ac:dyDescent="0.2">
      <c r="A74" s="395">
        <f t="shared" si="11"/>
        <v>2031</v>
      </c>
      <c r="B74" s="410">
        <f t="shared" si="11"/>
        <v>0</v>
      </c>
      <c r="C74" s="373">
        <f t="shared" si="12"/>
        <v>-2.0798542499367612E-14</v>
      </c>
      <c r="D74" s="373"/>
      <c r="E74" s="373">
        <f t="shared" si="13"/>
        <v>0</v>
      </c>
      <c r="F74" s="373">
        <f t="shared" si="14"/>
        <v>-2.0798542499367612E-14</v>
      </c>
      <c r="G74" s="373">
        <f t="shared" si="10"/>
        <v>-2.0798542499367612E-14</v>
      </c>
      <c r="H74" s="373">
        <f t="shared" si="9"/>
        <v>-1.2785989241414515E-14</v>
      </c>
      <c r="O74" s="325"/>
      <c r="P74" s="325"/>
      <c r="Q74" s="325"/>
    </row>
    <row r="75" spans="1:17" s="31" customFormat="1" ht="15" customHeight="1" x14ac:dyDescent="0.2">
      <c r="A75" s="395">
        <f t="shared" si="11"/>
        <v>2032</v>
      </c>
      <c r="B75" s="410">
        <f t="shared" si="11"/>
        <v>0</v>
      </c>
      <c r="C75" s="373">
        <f t="shared" si="12"/>
        <v>-2.1713678369339785E-14</v>
      </c>
      <c r="D75" s="373"/>
      <c r="E75" s="373">
        <f t="shared" si="13"/>
        <v>0</v>
      </c>
      <c r="F75" s="373">
        <f t="shared" si="14"/>
        <v>-2.1713678369339785E-14</v>
      </c>
      <c r="G75" s="373">
        <f t="shared" si="10"/>
        <v>-2.1713678369339785E-14</v>
      </c>
      <c r="H75" s="373">
        <f t="shared" si="9"/>
        <v>-1.3348572768036753E-14</v>
      </c>
      <c r="O75" s="325"/>
      <c r="P75" s="325"/>
      <c r="Q75" s="325"/>
    </row>
    <row r="76" spans="1:17" s="31" customFormat="1" ht="15" customHeight="1" x14ac:dyDescent="0.2">
      <c r="A76" s="395">
        <f t="shared" si="11"/>
        <v>2033</v>
      </c>
      <c r="B76" s="410">
        <f t="shared" si="11"/>
        <v>0</v>
      </c>
      <c r="C76" s="373">
        <f t="shared" si="12"/>
        <v>-2.2669080217590735E-14</v>
      </c>
      <c r="D76" s="373"/>
      <c r="E76" s="373">
        <f t="shared" si="13"/>
        <v>0</v>
      </c>
      <c r="F76" s="373">
        <f t="shared" si="14"/>
        <v>-2.2669080217590735E-14</v>
      </c>
      <c r="G76" s="373">
        <f t="shared" si="10"/>
        <v>-2.2669080217590735E-14</v>
      </c>
      <c r="H76" s="373">
        <f t="shared" si="9"/>
        <v>-1.3935909969830369E-14</v>
      </c>
      <c r="O76" s="325"/>
      <c r="P76" s="325"/>
      <c r="Q76" s="325"/>
    </row>
    <row r="77" spans="1:17" s="31" customFormat="1" ht="15" customHeight="1" x14ac:dyDescent="0.2">
      <c r="A77" s="395">
        <f>B50</f>
        <v>2034</v>
      </c>
      <c r="B77" s="410">
        <f>C50</f>
        <v>0</v>
      </c>
      <c r="C77" s="373">
        <f t="shared" si="12"/>
        <v>-2.3666519747164728E-14</v>
      </c>
      <c r="D77" s="373"/>
      <c r="E77" s="373">
        <f t="shared" si="13"/>
        <v>0</v>
      </c>
      <c r="F77" s="373">
        <f t="shared" si="14"/>
        <v>-2.3666519747164728E-14</v>
      </c>
      <c r="G77" s="373">
        <f t="shared" si="10"/>
        <v>-2.3666519747164728E-14</v>
      </c>
      <c r="H77" s="373">
        <f t="shared" si="9"/>
        <v>-1.4549090008502906E-14</v>
      </c>
      <c r="O77" s="325"/>
      <c r="P77" s="325"/>
      <c r="Q77" s="325"/>
    </row>
    <row r="78" spans="1:17" s="31" customFormat="1" ht="15" customHeight="1" x14ac:dyDescent="0.2">
      <c r="A78" s="395">
        <f>B51</f>
        <v>2035</v>
      </c>
      <c r="B78" s="410">
        <f>C51</f>
        <v>0</v>
      </c>
      <c r="C78" s="373">
        <f t="shared" si="12"/>
        <v>-2.4707846616039981E-14</v>
      </c>
      <c r="D78" s="373"/>
      <c r="E78" s="373">
        <f t="shared" si="13"/>
        <v>0</v>
      </c>
      <c r="F78" s="373">
        <f t="shared" si="14"/>
        <v>-2.4707846616039981E-14</v>
      </c>
      <c r="G78" s="373">
        <f t="shared" si="10"/>
        <v>-2.4707846616039981E-14</v>
      </c>
      <c r="H78" s="373">
        <f t="shared" si="9"/>
        <v>-1.5189249968877038E-14</v>
      </c>
      <c r="O78" s="325"/>
      <c r="P78" s="325"/>
      <c r="Q78" s="325"/>
    </row>
    <row r="79" spans="1:17" s="31" customFormat="1" ht="15" customHeight="1" thickBot="1" x14ac:dyDescent="0.25">
      <c r="A79" s="372" t="s">
        <v>441</v>
      </c>
      <c r="B79" s="412">
        <f>SUM(B59:B78)</f>
        <v>2820</v>
      </c>
      <c r="C79" s="412">
        <f>SUM(C59:C78)</f>
        <v>610.32211034549732</v>
      </c>
      <c r="D79" s="412"/>
      <c r="E79" s="412">
        <f>SUM(E59:E78)</f>
        <v>2209.6778896545015</v>
      </c>
      <c r="F79" s="412">
        <f>SUM(F59:F78)</f>
        <v>2819.9999999999995</v>
      </c>
      <c r="G79" s="412">
        <f>SUM(G59:G78)</f>
        <v>-7.2835836231442316E-13</v>
      </c>
      <c r="H79" s="412">
        <f>SUM(H59:H78)</f>
        <v>-4.4530059727641885E-13</v>
      </c>
      <c r="O79" s="325"/>
      <c r="P79" s="325"/>
      <c r="Q79" s="325"/>
    </row>
    <row r="80" spans="1:17" s="31" customFormat="1" ht="15" customHeight="1" x14ac:dyDescent="0.2">
      <c r="O80" s="325"/>
      <c r="P80" s="325"/>
      <c r="Q80" s="325"/>
    </row>
    <row r="81" spans="1:17" s="31" customFormat="1" ht="15" customHeight="1" x14ac:dyDescent="0.2">
      <c r="A81" s="1103" t="s">
        <v>469</v>
      </c>
      <c r="B81" s="1112"/>
      <c r="C81" s="1112"/>
      <c r="D81" s="1112"/>
      <c r="E81" s="1105">
        <f>C10</f>
        <v>2015</v>
      </c>
      <c r="F81" s="1112"/>
      <c r="G81" s="1106" t="s">
        <v>117</v>
      </c>
      <c r="H81" s="1106" t="s">
        <v>118</v>
      </c>
      <c r="I81" s="110"/>
      <c r="O81" s="325"/>
      <c r="P81" s="325"/>
      <c r="Q81" s="325"/>
    </row>
    <row r="82" spans="1:17" s="31" customFormat="1" ht="15" customHeight="1" x14ac:dyDescent="0.2">
      <c r="A82" s="325" t="s">
        <v>470</v>
      </c>
      <c r="B82" s="110"/>
      <c r="C82" s="110"/>
      <c r="D82" s="110"/>
      <c r="E82" s="110"/>
      <c r="F82" s="110"/>
      <c r="G82" s="381">
        <f>ROUND(J31,0)</f>
        <v>2210</v>
      </c>
      <c r="H82" s="381"/>
      <c r="I82" s="110"/>
      <c r="O82" s="325"/>
      <c r="P82" s="325"/>
      <c r="Q82" s="325"/>
    </row>
    <row r="83" spans="1:17" s="31" customFormat="1" ht="15" customHeight="1" x14ac:dyDescent="0.2">
      <c r="A83" s="325" t="s">
        <v>471</v>
      </c>
      <c r="B83" s="110"/>
      <c r="C83" s="110"/>
      <c r="D83" s="110"/>
      <c r="E83" s="110"/>
      <c r="F83" s="110"/>
      <c r="G83" s="381"/>
      <c r="H83" s="381">
        <f>ROUND(H32,0)</f>
        <v>156</v>
      </c>
      <c r="I83" s="110"/>
      <c r="O83" s="325"/>
      <c r="P83" s="325"/>
      <c r="Q83" s="325"/>
    </row>
    <row r="84" spans="1:17" s="31" customFormat="1" ht="15" customHeight="1" x14ac:dyDescent="0.2">
      <c r="A84" s="325" t="s">
        <v>472</v>
      </c>
      <c r="B84" s="110"/>
      <c r="C84" s="110"/>
      <c r="D84" s="110"/>
      <c r="E84" s="110"/>
      <c r="F84" s="110"/>
      <c r="G84" s="408"/>
      <c r="H84" s="75">
        <f>ROUND(I31,0)-ROUND(H32,0)</f>
        <v>2054</v>
      </c>
      <c r="I84" s="110"/>
      <c r="O84" s="325"/>
      <c r="P84" s="325"/>
      <c r="Q84" s="325"/>
    </row>
    <row r="85" spans="1:17" s="31" customFormat="1" ht="15" customHeight="1" thickBot="1" x14ac:dyDescent="0.25">
      <c r="A85" s="1107" t="s">
        <v>468</v>
      </c>
      <c r="B85" s="1104"/>
      <c r="C85" s="1104"/>
      <c r="D85" s="1104"/>
      <c r="E85" s="1104"/>
      <c r="F85" s="1104"/>
      <c r="G85" s="1108">
        <f>SUM(G82:G84)</f>
        <v>2210</v>
      </c>
      <c r="H85" s="1108">
        <f>SUM(H82:H84)</f>
        <v>2210</v>
      </c>
      <c r="I85" s="110"/>
      <c r="O85" s="325"/>
      <c r="P85" s="325"/>
      <c r="Q85" s="325"/>
    </row>
    <row r="87" spans="1:17" ht="16.5" hidden="1" customHeight="1" x14ac:dyDescent="0.2"/>
    <row r="88" spans="1:17" ht="16.5" hidden="1" customHeight="1" x14ac:dyDescent="0.2"/>
    <row r="89" spans="1:17" ht="16.5" hidden="1" customHeight="1" x14ac:dyDescent="0.2"/>
    <row r="90" spans="1:17" s="31" customFormat="1" ht="16.5" hidden="1" customHeight="1" x14ac:dyDescent="0.2">
      <c r="B90" s="110"/>
      <c r="C90" s="110"/>
      <c r="D90" s="110"/>
      <c r="E90" s="110"/>
      <c r="F90" s="110"/>
      <c r="G90" s="111"/>
      <c r="H90" s="111"/>
      <c r="I90" s="110"/>
      <c r="O90" s="325"/>
      <c r="P90" s="325"/>
      <c r="Q90" s="325"/>
    </row>
    <row r="91" spans="1:17" ht="16.5" hidden="1" customHeight="1" x14ac:dyDescent="0.2"/>
    <row r="92" spans="1:17" ht="16.5" hidden="1" customHeight="1" x14ac:dyDescent="0.2"/>
    <row r="93" spans="1:17" s="31" customFormat="1" ht="16.5" customHeight="1" x14ac:dyDescent="0.2">
      <c r="A93" s="397" t="s">
        <v>473</v>
      </c>
      <c r="B93" s="396"/>
      <c r="C93" s="396"/>
      <c r="D93" s="396"/>
      <c r="E93" s="398" t="str">
        <f>J7</f>
        <v>NA</v>
      </c>
      <c r="F93" s="396"/>
      <c r="G93" s="399" t="s">
        <v>117</v>
      </c>
      <c r="H93" s="399" t="s">
        <v>118</v>
      </c>
      <c r="I93" s="399" t="s">
        <v>462</v>
      </c>
    </row>
    <row r="94" spans="1:17" s="31" customFormat="1" ht="16.5" customHeight="1" x14ac:dyDescent="0.2">
      <c r="A94" s="397" t="s">
        <v>559</v>
      </c>
      <c r="B94" s="396"/>
      <c r="C94" s="396"/>
      <c r="D94" s="396"/>
      <c r="E94" s="396"/>
      <c r="F94" s="396"/>
      <c r="G94" s="400">
        <f>ROUND(C59,0)</f>
        <v>97</v>
      </c>
      <c r="H94" s="270"/>
      <c r="I94" s="400">
        <f>-G94</f>
        <v>-97</v>
      </c>
    </row>
    <row r="95" spans="1:17" s="31" customFormat="1" ht="16.5" customHeight="1" x14ac:dyDescent="0.2">
      <c r="A95" s="397" t="s">
        <v>476</v>
      </c>
      <c r="B95" s="396"/>
      <c r="C95" s="396"/>
      <c r="D95" s="396"/>
      <c r="E95" s="396"/>
      <c r="F95" s="396"/>
      <c r="G95" s="270">
        <f>ROUND(E59,0)</f>
        <v>201</v>
      </c>
      <c r="H95" s="270"/>
      <c r="I95" s="270">
        <f>-G95</f>
        <v>-201</v>
      </c>
    </row>
    <row r="96" spans="1:17" s="31" customFormat="1" ht="16.5" customHeight="1" x14ac:dyDescent="0.2">
      <c r="A96" s="1147" t="s">
        <v>1017</v>
      </c>
      <c r="B96" s="396"/>
      <c r="C96" s="396"/>
      <c r="D96" s="396"/>
      <c r="E96" s="396"/>
      <c r="F96" s="396"/>
      <c r="G96" s="1148" t="str">
        <f>IF(G94+G95-H97&lt;0,-(-ROUND(B59,0)+ROUND(C59,0)+ROUND(E59,0)-(ROUND(G59,0)-ROUND(H59,0)))," ")</f>
        <v xml:space="preserve"> </v>
      </c>
      <c r="H96" s="1148">
        <f>IF(G94+G95-H97&gt;0,-ROUND(B59,0)+ROUND(C59,0)+ROUND(E59,0)-(ROUND(G59,0)-ROUND(H59,0))," ")</f>
        <v>28</v>
      </c>
      <c r="I96" s="1149" t="s">
        <v>119</v>
      </c>
    </row>
    <row r="97" spans="1:17" s="31" customFormat="1" ht="16.5" customHeight="1" x14ac:dyDescent="0.2">
      <c r="A97" s="1147" t="s">
        <v>477</v>
      </c>
      <c r="B97" s="396"/>
      <c r="C97" s="396"/>
      <c r="D97" s="396"/>
      <c r="E97" s="396"/>
      <c r="F97" s="396"/>
      <c r="G97" s="1148"/>
      <c r="H97" s="1148">
        <f>ROUND(B59,0)</f>
        <v>253</v>
      </c>
      <c r="I97" s="1148">
        <f>H97</f>
        <v>253</v>
      </c>
    </row>
    <row r="98" spans="1:17" s="31" customFormat="1" ht="16.5" customHeight="1" x14ac:dyDescent="0.2">
      <c r="A98" s="1147" t="s">
        <v>1018</v>
      </c>
      <c r="B98" s="396"/>
      <c r="C98" s="396"/>
      <c r="D98" s="396"/>
      <c r="E98" s="396"/>
      <c r="F98" s="396"/>
      <c r="G98" s="1148">
        <f>IF(G94+G95-H97&lt;0,-(ROUND(G59,0)-ROUND(H59,0)),0)</f>
        <v>0</v>
      </c>
      <c r="H98" s="1148">
        <f>IF(G94+G95-H97&gt;0,ROUND(G59,0)-ROUND(H59,0),0)</f>
        <v>17</v>
      </c>
      <c r="I98" s="1148">
        <f>IF(G98=" ",H98,-G98)</f>
        <v>0</v>
      </c>
    </row>
    <row r="99" spans="1:17" ht="16.5" customHeight="1" thickBot="1" x14ac:dyDescent="0.25">
      <c r="A99" s="403" t="s">
        <v>468</v>
      </c>
      <c r="B99" s="396"/>
      <c r="C99" s="396"/>
      <c r="D99" s="396"/>
      <c r="E99" s="396"/>
      <c r="F99" s="396"/>
      <c r="G99" s="404">
        <f>SUM(G94:G98)</f>
        <v>298</v>
      </c>
      <c r="H99" s="404">
        <f>SUM(H94:H98)</f>
        <v>298</v>
      </c>
      <c r="I99" s="404">
        <f>SUM(I94:I98)</f>
        <v>-45</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ignoredErrors>
    <ignoredError sqref="H59:H69" evalError="1"/>
  </ignoredErrors>
  <drawing r:id="rId2"/>
  <legacyDrawing r:id="rId3"/>
  <extLst>
    <ext xmlns:mx="http://schemas.microsoft.com/office/mac/excel/2008/main" uri="http://schemas.microsoft.com/office/mac/excel/2008/main">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DE9400"/>
  </sheetPr>
  <dimension ref="A1:Q107"/>
  <sheetViews>
    <sheetView view="pageBreakPreview" topLeftCell="A13" zoomScaleSheetLayoutView="100" workbookViewId="0">
      <selection activeCell="H97" sqref="H97"/>
    </sheetView>
  </sheetViews>
  <sheetFormatPr defaultColWidth="9.140625" defaultRowHeight="16.5" customHeight="1" x14ac:dyDescent="0.2"/>
  <cols>
    <col min="1" max="1" width="10.5703125" style="31" customWidth="1"/>
    <col min="2" max="2" width="10.140625" style="31" bestFit="1" customWidth="1"/>
    <col min="3" max="3" width="11.140625" style="31" customWidth="1"/>
    <col min="4" max="4" width="4.85546875" style="31" customWidth="1"/>
    <col min="5" max="5" width="12.42578125" style="31" customWidth="1"/>
    <col min="6" max="6" width="11.5703125" style="31" customWidth="1"/>
    <col min="7" max="7" width="10.5703125" style="31" customWidth="1"/>
    <col min="8" max="8" width="11.5703125" style="31" customWidth="1"/>
    <col min="9" max="11" width="10" style="31" bestFit="1" customWidth="1"/>
    <col min="12" max="14" width="8.5703125" style="31" customWidth="1"/>
    <col min="15" max="256" width="8.5703125" style="325" customWidth="1"/>
    <col min="257" max="16384" width="9.140625" style="325"/>
  </cols>
  <sheetData>
    <row r="1" spans="1:14" s="575" customFormat="1" ht="15" customHeight="1" x14ac:dyDescent="0.2">
      <c r="A1" s="572" t="s">
        <v>364</v>
      </c>
      <c r="B1" s="572"/>
      <c r="C1" s="572"/>
      <c r="D1" s="573"/>
      <c r="E1" s="573"/>
      <c r="F1" s="574"/>
      <c r="G1" s="574"/>
      <c r="H1" s="574"/>
      <c r="I1" s="574"/>
      <c r="J1" s="574"/>
      <c r="K1" s="574"/>
      <c r="L1" s="574"/>
      <c r="M1" s="574"/>
      <c r="N1" s="574"/>
    </row>
    <row r="2" spans="1:14" ht="15" customHeight="1" x14ac:dyDescent="0.2">
      <c r="A2" s="392"/>
      <c r="B2" s="347"/>
      <c r="C2" s="347"/>
      <c r="D2" s="348"/>
      <c r="E2" s="348"/>
      <c r="J2" s="39"/>
    </row>
    <row r="3" spans="1:14" ht="15" customHeight="1" x14ac:dyDescent="0.2">
      <c r="A3" s="392"/>
      <c r="B3" s="347"/>
      <c r="C3" s="347"/>
      <c r="D3" s="348"/>
      <c r="E3" s="348"/>
      <c r="J3" s="39"/>
    </row>
    <row r="4" spans="1:14" ht="15" customHeight="1" x14ac:dyDescent="0.2">
      <c r="A4" s="347"/>
      <c r="B4" s="347"/>
      <c r="C4" s="347"/>
      <c r="D4" s="348"/>
      <c r="E4" s="348"/>
      <c r="J4" s="39"/>
    </row>
    <row r="5" spans="1:14" ht="15" customHeight="1" x14ac:dyDescent="0.2">
      <c r="A5" s="347"/>
      <c r="B5" s="347"/>
      <c r="C5" s="347"/>
      <c r="D5" s="348"/>
      <c r="E5" s="348"/>
      <c r="J5" s="39"/>
    </row>
    <row r="6" spans="1:14" ht="15" customHeight="1" x14ac:dyDescent="0.2">
      <c r="J6" s="39"/>
      <c r="L6" s="325"/>
      <c r="M6" s="325"/>
      <c r="N6" s="325"/>
    </row>
    <row r="7" spans="1:14" ht="15" customHeight="1" x14ac:dyDescent="0.2">
      <c r="A7" s="543" t="s">
        <v>611</v>
      </c>
      <c r="G7" s="31" t="s">
        <v>304</v>
      </c>
      <c r="J7" s="380" t="s">
        <v>47</v>
      </c>
      <c r="L7" s="325"/>
      <c r="M7" s="325"/>
      <c r="N7" s="325"/>
    </row>
    <row r="8" spans="1:14" ht="15" customHeight="1" x14ac:dyDescent="0.2">
      <c r="G8" s="31" t="s">
        <v>33</v>
      </c>
      <c r="J8" s="405" t="s">
        <v>47</v>
      </c>
      <c r="L8" s="325"/>
      <c r="M8" s="325"/>
      <c r="N8" s="325"/>
    </row>
    <row r="9" spans="1:14" ht="15" customHeight="1" x14ac:dyDescent="0.2">
      <c r="C9" s="39"/>
      <c r="D9" s="36"/>
      <c r="E9" s="36"/>
      <c r="F9" s="39"/>
      <c r="G9" s="31" t="s">
        <v>1070</v>
      </c>
      <c r="J9" s="405" t="s">
        <v>47</v>
      </c>
      <c r="L9" s="325"/>
      <c r="M9" s="325"/>
      <c r="N9" s="325"/>
    </row>
    <row r="10" spans="1:14" ht="15" customHeight="1" x14ac:dyDescent="0.2">
      <c r="A10" s="31" t="s">
        <v>463</v>
      </c>
      <c r="B10" s="39"/>
      <c r="C10" s="576">
        <f>'Oper Lease Adjust 6'!C10</f>
        <v>2015</v>
      </c>
      <c r="G10" s="39" t="s">
        <v>337</v>
      </c>
      <c r="H10" s="39"/>
      <c r="I10" s="39"/>
      <c r="J10" s="407">
        <v>0.35</v>
      </c>
      <c r="L10" s="325"/>
      <c r="M10" s="325"/>
      <c r="N10" s="325"/>
    </row>
    <row r="11" spans="1:14" ht="15" customHeight="1" x14ac:dyDescent="0.2">
      <c r="C11" s="36"/>
      <c r="D11" s="36"/>
      <c r="E11" s="36"/>
      <c r="F11" s="36"/>
      <c r="G11" s="39" t="s">
        <v>305</v>
      </c>
      <c r="H11" s="39"/>
      <c r="I11" s="39"/>
      <c r="J11" s="406">
        <f>'Oper Lease Adjust 5'!J11</f>
        <v>4.3999999999999997E-2</v>
      </c>
      <c r="L11" s="325"/>
      <c r="M11" s="325"/>
      <c r="N11" s="325"/>
    </row>
    <row r="12" spans="1:14" ht="15" customHeight="1" x14ac:dyDescent="0.2">
      <c r="B12" s="347"/>
      <c r="C12" s="378" t="s">
        <v>306</v>
      </c>
      <c r="D12" s="378"/>
      <c r="E12" s="378"/>
      <c r="F12" s="378"/>
      <c r="J12" s="33"/>
    </row>
    <row r="13" spans="1:14" ht="15" customHeight="1" x14ac:dyDescent="0.2">
      <c r="B13" s="351" t="s">
        <v>63</v>
      </c>
      <c r="C13" s="350" t="s">
        <v>110</v>
      </c>
      <c r="D13" s="350"/>
      <c r="E13" s="383" t="s">
        <v>307</v>
      </c>
      <c r="F13" s="383" t="s">
        <v>45</v>
      </c>
      <c r="I13" s="216"/>
    </row>
    <row r="14" spans="1:14" ht="15" customHeight="1" x14ac:dyDescent="0.2">
      <c r="A14" s="352">
        <v>1</v>
      </c>
      <c r="B14" s="382">
        <f>C10+1</f>
        <v>2016</v>
      </c>
      <c r="C14" s="695">
        <v>1135</v>
      </c>
      <c r="D14" s="66"/>
      <c r="E14" s="384" t="s">
        <v>464</v>
      </c>
      <c r="F14" s="384" t="s">
        <v>464</v>
      </c>
    </row>
    <row r="15" spans="1:14" ht="15" customHeight="1" x14ac:dyDescent="0.2">
      <c r="A15" s="352">
        <v>2</v>
      </c>
      <c r="B15" s="382">
        <f>B14+1</f>
        <v>2017</v>
      </c>
      <c r="C15" s="231">
        <v>1098</v>
      </c>
      <c r="D15" s="32"/>
      <c r="E15" s="270"/>
      <c r="F15" s="270"/>
    </row>
    <row r="16" spans="1:14" ht="15" customHeight="1" x14ac:dyDescent="0.2">
      <c r="A16" s="352">
        <v>3</v>
      </c>
      <c r="B16" s="382">
        <f>B15+1</f>
        <v>2018</v>
      </c>
      <c r="C16" s="231">
        <v>946</v>
      </c>
      <c r="D16" s="32"/>
      <c r="E16" s="270"/>
      <c r="F16" s="270"/>
    </row>
    <row r="17" spans="1:14" ht="15" customHeight="1" x14ac:dyDescent="0.2">
      <c r="A17" s="352">
        <v>4</v>
      </c>
      <c r="B17" s="382">
        <f>B16+1</f>
        <v>2019</v>
      </c>
      <c r="C17" s="231">
        <v>821</v>
      </c>
      <c r="D17" s="32"/>
      <c r="E17" s="270"/>
      <c r="F17" s="270"/>
    </row>
    <row r="18" spans="1:14" ht="15" customHeight="1" x14ac:dyDescent="0.2">
      <c r="A18" s="352">
        <v>5</v>
      </c>
      <c r="B18" s="382">
        <f>B17+1</f>
        <v>2020</v>
      </c>
      <c r="C18" s="231">
        <v>682</v>
      </c>
      <c r="D18" s="353" t="s">
        <v>156</v>
      </c>
      <c r="E18" s="270"/>
      <c r="F18" s="270"/>
    </row>
    <row r="19" spans="1:14" ht="15" customHeight="1" x14ac:dyDescent="0.2">
      <c r="A19" s="354"/>
      <c r="B19" s="355" t="s">
        <v>112</v>
      </c>
      <c r="C19" s="234">
        <v>2118</v>
      </c>
      <c r="D19" s="356" t="s">
        <v>155</v>
      </c>
      <c r="E19" s="270"/>
      <c r="F19" s="270"/>
    </row>
    <row r="20" spans="1:14" ht="15" customHeight="1" thickBot="1" x14ac:dyDescent="0.25">
      <c r="B20" s="352" t="s">
        <v>45</v>
      </c>
      <c r="C20" s="237">
        <f>SUM(C14:C19)</f>
        <v>6800</v>
      </c>
      <c r="D20" s="105"/>
      <c r="E20" s="385" t="s">
        <v>464</v>
      </c>
      <c r="F20" s="385" t="s">
        <v>464</v>
      </c>
      <c r="K20" s="39"/>
    </row>
    <row r="21" spans="1:14" ht="15" customHeight="1" x14ac:dyDescent="0.2">
      <c r="G21" s="33"/>
      <c r="H21" s="33"/>
    </row>
    <row r="22" spans="1:14" ht="15" customHeight="1" x14ac:dyDescent="0.2">
      <c r="A22" s="112" t="s">
        <v>465</v>
      </c>
      <c r="C22" s="33"/>
      <c r="D22" s="33"/>
      <c r="F22" s="357">
        <f>ROUNDUP(C19/C18,0)</f>
        <v>4</v>
      </c>
    </row>
    <row r="23" spans="1:14" ht="15" customHeight="1" x14ac:dyDescent="0.2">
      <c r="A23" s="112" t="s">
        <v>466</v>
      </c>
      <c r="F23" s="358">
        <f>IF(A18+F22&gt;20,20,A18+F22)</f>
        <v>9</v>
      </c>
    </row>
    <row r="24" spans="1:14" ht="15" customHeight="1" x14ac:dyDescent="0.2">
      <c r="A24" s="112"/>
      <c r="F24" s="358"/>
      <c r="G24" s="39"/>
      <c r="L24" s="39"/>
      <c r="M24" s="39"/>
      <c r="N24" s="39"/>
    </row>
    <row r="25" spans="1:14" ht="15" customHeight="1" x14ac:dyDescent="0.2">
      <c r="G25" s="39"/>
      <c r="L25" s="39"/>
      <c r="M25" s="39"/>
      <c r="N25" s="39"/>
    </row>
    <row r="26" spans="1:14" ht="15" customHeight="1" x14ac:dyDescent="0.2">
      <c r="A26" s="359" t="s">
        <v>61</v>
      </c>
      <c r="B26" s="359" t="s">
        <v>62</v>
      </c>
      <c r="C26" s="359" t="s">
        <v>116</v>
      </c>
      <c r="D26" s="360" t="s">
        <v>308</v>
      </c>
      <c r="E26" s="361"/>
      <c r="F26" s="359" t="s">
        <v>309</v>
      </c>
      <c r="G26" s="359" t="s">
        <v>310</v>
      </c>
      <c r="H26" s="359" t="s">
        <v>311</v>
      </c>
      <c r="I26" s="359" t="s">
        <v>312</v>
      </c>
      <c r="J26" s="359" t="s">
        <v>313</v>
      </c>
      <c r="K26" s="359" t="s">
        <v>314</v>
      </c>
    </row>
    <row r="27" spans="1:14" ht="15" customHeight="1" x14ac:dyDescent="0.2">
      <c r="A27" s="362"/>
      <c r="B27" s="362"/>
      <c r="C27" s="362" t="s">
        <v>315</v>
      </c>
      <c r="D27" s="363" t="s">
        <v>316</v>
      </c>
      <c r="E27" s="364"/>
      <c r="F27" s="362" t="s">
        <v>317</v>
      </c>
      <c r="G27" s="362" t="s">
        <v>318</v>
      </c>
      <c r="H27" s="362" t="s">
        <v>319</v>
      </c>
      <c r="I27" s="362" t="s">
        <v>320</v>
      </c>
      <c r="J27" s="362" t="s">
        <v>321</v>
      </c>
      <c r="K27" s="362" t="s">
        <v>422</v>
      </c>
      <c r="L27" s="325"/>
      <c r="M27" s="325"/>
      <c r="N27" s="325"/>
    </row>
    <row r="28" spans="1:14" ht="15" customHeight="1" x14ac:dyDescent="0.2">
      <c r="A28" s="1086" t="s">
        <v>423</v>
      </c>
      <c r="B28" s="1086" t="s">
        <v>424</v>
      </c>
      <c r="C28" s="1086"/>
      <c r="D28" s="1087"/>
      <c r="E28" s="1088"/>
      <c r="F28" s="1086" t="s">
        <v>425</v>
      </c>
      <c r="G28" s="1086"/>
      <c r="H28" s="1086" t="s">
        <v>426</v>
      </c>
      <c r="I28" s="1086"/>
      <c r="J28" s="1086" t="s">
        <v>427</v>
      </c>
      <c r="K28" s="1086" t="s">
        <v>428</v>
      </c>
      <c r="L28" s="325"/>
      <c r="M28" s="325"/>
      <c r="N28" s="325"/>
    </row>
    <row r="29" spans="1:14" ht="15" customHeight="1" x14ac:dyDescent="0.2">
      <c r="A29" s="1089" t="s">
        <v>429</v>
      </c>
      <c r="B29" s="1089" t="s">
        <v>430</v>
      </c>
      <c r="C29" s="1089"/>
      <c r="D29" s="1090"/>
      <c r="E29" s="1091"/>
      <c r="F29" s="1089" t="s">
        <v>431</v>
      </c>
      <c r="G29" s="1089" t="s">
        <v>432</v>
      </c>
      <c r="H29" s="1089" t="s">
        <v>433</v>
      </c>
      <c r="I29" s="1089" t="s">
        <v>114</v>
      </c>
      <c r="J29" s="1089" t="s">
        <v>434</v>
      </c>
      <c r="K29" s="1089" t="s">
        <v>435</v>
      </c>
      <c r="L29" s="325"/>
      <c r="M29" s="325"/>
      <c r="N29" s="325"/>
    </row>
    <row r="30" spans="1:14" ht="15" customHeight="1" x14ac:dyDescent="0.2">
      <c r="A30" s="1092" t="s">
        <v>467</v>
      </c>
      <c r="B30" s="1092" t="s">
        <v>429</v>
      </c>
      <c r="C30" s="1092" t="s">
        <v>111</v>
      </c>
      <c r="D30" s="1093" t="s">
        <v>436</v>
      </c>
      <c r="E30" s="1094"/>
      <c r="F30" s="1092" t="s">
        <v>437</v>
      </c>
      <c r="G30" s="1092" t="s">
        <v>438</v>
      </c>
      <c r="H30" s="1092" t="s">
        <v>439</v>
      </c>
      <c r="I30" s="1092" t="s">
        <v>439</v>
      </c>
      <c r="J30" s="1092" t="s">
        <v>440</v>
      </c>
      <c r="K30" s="1092" t="s">
        <v>115</v>
      </c>
      <c r="L30" s="325"/>
      <c r="M30" s="325"/>
      <c r="N30" s="325"/>
    </row>
    <row r="31" spans="1:14" ht="15" customHeight="1" x14ac:dyDescent="0.2">
      <c r="A31" s="130">
        <v>0</v>
      </c>
      <c r="B31" s="386">
        <f>C10</f>
        <v>2015</v>
      </c>
      <c r="C31" s="111"/>
      <c r="D31" s="33"/>
      <c r="F31" s="33"/>
      <c r="G31" s="33"/>
      <c r="H31" s="365"/>
      <c r="I31" s="393">
        <f>F52</f>
        <v>5730.2951180467826</v>
      </c>
      <c r="J31" s="393">
        <f>I31</f>
        <v>5730.2951180467826</v>
      </c>
      <c r="K31" s="365"/>
      <c r="L31" s="325"/>
      <c r="M31" s="325"/>
      <c r="N31" s="325"/>
    </row>
    <row r="32" spans="1:14" ht="15" customHeight="1" x14ac:dyDescent="0.2">
      <c r="A32" s="1152">
        <v>1</v>
      </c>
      <c r="B32" s="855">
        <f t="shared" ref="B32:C36" si="0">B14</f>
        <v>2016</v>
      </c>
      <c r="C32" s="1151">
        <f t="shared" si="0"/>
        <v>1135</v>
      </c>
      <c r="D32" s="365"/>
      <c r="E32" s="366">
        <f t="shared" ref="E32:E51" si="1">1/(1+J$11)^A32</f>
        <v>0.95785440613026818</v>
      </c>
      <c r="F32" s="388">
        <f>C32*E32</f>
        <v>1087.1647509578545</v>
      </c>
      <c r="G32" s="389">
        <f>I31*J$11</f>
        <v>252.13298519405842</v>
      </c>
      <c r="H32" s="390">
        <f>C32-G32</f>
        <v>882.86701480594161</v>
      </c>
      <c r="I32" s="347">
        <f>I31-H32</f>
        <v>4847.4281032408408</v>
      </c>
      <c r="J32" s="365">
        <f>J31-K32</f>
        <v>5093.5956604860294</v>
      </c>
      <c r="K32" s="391">
        <f>IF(A32&gt;F$23,0,I$31/F$23)</f>
        <v>636.69945756075367</v>
      </c>
      <c r="L32" s="365"/>
      <c r="M32" s="365"/>
      <c r="N32" s="365"/>
    </row>
    <row r="33" spans="1:17" ht="15" customHeight="1" x14ac:dyDescent="0.2">
      <c r="A33" s="93">
        <v>2</v>
      </c>
      <c r="B33" s="855">
        <f t="shared" si="0"/>
        <v>2017</v>
      </c>
      <c r="C33" s="32">
        <f t="shared" si="0"/>
        <v>1098</v>
      </c>
      <c r="E33" s="366">
        <f t="shared" si="1"/>
        <v>0.91748506334316871</v>
      </c>
      <c r="F33" s="365">
        <f>C33*E33</f>
        <v>1007.3985995507992</v>
      </c>
      <c r="G33" s="372">
        <f>I32*J$11</f>
        <v>213.28683654259697</v>
      </c>
      <c r="H33" s="373">
        <f>C33-G33</f>
        <v>884.71316345740297</v>
      </c>
      <c r="I33" s="373">
        <f>I32-H33</f>
        <v>3962.7149397834378</v>
      </c>
      <c r="J33" s="365">
        <f t="shared" ref="J33:J51" si="2">J32-K33</f>
        <v>4456.8962029252762</v>
      </c>
      <c r="K33" s="373">
        <f>IF(A33&gt;F$23,0,I$31/F$23)</f>
        <v>636.69945756075367</v>
      </c>
    </row>
    <row r="34" spans="1:17" ht="15" customHeight="1" x14ac:dyDescent="0.2">
      <c r="A34" s="93">
        <v>3</v>
      </c>
      <c r="B34" s="855">
        <f t="shared" si="0"/>
        <v>2018</v>
      </c>
      <c r="C34" s="32">
        <f t="shared" si="0"/>
        <v>946</v>
      </c>
      <c r="E34" s="366">
        <f t="shared" si="1"/>
        <v>0.87881711048196232</v>
      </c>
      <c r="F34" s="365">
        <f t="shared" ref="F34:F51" si="3">C34*E34</f>
        <v>831.36098651593636</v>
      </c>
      <c r="G34" s="372">
        <f t="shared" ref="G34:G51" si="4">I33*J$11</f>
        <v>174.35945735047125</v>
      </c>
      <c r="H34" s="373">
        <f t="shared" ref="H34:H51" si="5">C34-G34</f>
        <v>771.6405426495287</v>
      </c>
      <c r="I34" s="373">
        <f t="shared" ref="I34:I51" si="6">I33-H34</f>
        <v>3191.0743971339089</v>
      </c>
      <c r="J34" s="365">
        <f t="shared" si="2"/>
        <v>3820.1967453645225</v>
      </c>
      <c r="K34" s="373">
        <f t="shared" ref="K34:K51" si="7">IF(A34&gt;F$23,0,I$31/F$23)</f>
        <v>636.69945756075367</v>
      </c>
    </row>
    <row r="35" spans="1:17" s="31" customFormat="1" ht="15" customHeight="1" x14ac:dyDescent="0.2">
      <c r="A35" s="93">
        <v>4</v>
      </c>
      <c r="B35" s="855">
        <f t="shared" si="0"/>
        <v>2019</v>
      </c>
      <c r="C35" s="32">
        <f t="shared" si="0"/>
        <v>821</v>
      </c>
      <c r="E35" s="366">
        <f t="shared" si="1"/>
        <v>0.84177884145781834</v>
      </c>
      <c r="F35" s="365">
        <f t="shared" si="3"/>
        <v>691.1004288368689</v>
      </c>
      <c r="G35" s="372">
        <f t="shared" si="4"/>
        <v>140.40727347389199</v>
      </c>
      <c r="H35" s="373">
        <f t="shared" si="5"/>
        <v>680.59272652610798</v>
      </c>
      <c r="I35" s="373">
        <f t="shared" si="6"/>
        <v>2510.4816706078009</v>
      </c>
      <c r="J35" s="365">
        <f t="shared" si="2"/>
        <v>3183.4972878037688</v>
      </c>
      <c r="K35" s="373">
        <f t="shared" si="7"/>
        <v>636.69945756075367</v>
      </c>
      <c r="O35" s="325"/>
      <c r="P35" s="325"/>
      <c r="Q35" s="325"/>
    </row>
    <row r="36" spans="1:17" s="31" customFormat="1" ht="15" customHeight="1" x14ac:dyDescent="0.2">
      <c r="A36" s="93">
        <v>5</v>
      </c>
      <c r="B36" s="855">
        <f t="shared" si="0"/>
        <v>2020</v>
      </c>
      <c r="C36" s="32">
        <f t="shared" si="0"/>
        <v>682</v>
      </c>
      <c r="E36" s="366">
        <f t="shared" si="1"/>
        <v>0.8063015722776038</v>
      </c>
      <c r="F36" s="365">
        <f t="shared" si="3"/>
        <v>549.89767229332574</v>
      </c>
      <c r="G36" s="372">
        <f t="shared" si="4"/>
        <v>110.46119350674323</v>
      </c>
      <c r="H36" s="373">
        <f t="shared" si="5"/>
        <v>571.53880649325674</v>
      </c>
      <c r="I36" s="373">
        <f t="shared" si="6"/>
        <v>1938.9428641145441</v>
      </c>
      <c r="J36" s="365">
        <f t="shared" si="2"/>
        <v>2546.7978302430151</v>
      </c>
      <c r="K36" s="373">
        <f t="shared" si="7"/>
        <v>636.69945756075367</v>
      </c>
      <c r="O36" s="325"/>
      <c r="P36" s="325"/>
      <c r="Q36" s="325"/>
    </row>
    <row r="37" spans="1:17" s="31" customFormat="1" ht="15" customHeight="1" x14ac:dyDescent="0.2">
      <c r="A37" s="93">
        <f t="shared" ref="A37:B51" si="8">A36+1</f>
        <v>6</v>
      </c>
      <c r="B37" s="855">
        <f>B36+1</f>
        <v>2021</v>
      </c>
      <c r="C37" s="1153">
        <f>IF(A37&gt;F$23,0,IF(A37=F$23,C$20-SUM(C$32:C36),C$18))</f>
        <v>682</v>
      </c>
      <c r="E37" s="366">
        <f t="shared" si="1"/>
        <v>0.7723195136758656</v>
      </c>
      <c r="F37" s="365">
        <f t="shared" si="3"/>
        <v>526.72190832694037</v>
      </c>
      <c r="G37" s="372">
        <f t="shared" si="4"/>
        <v>85.313486021039935</v>
      </c>
      <c r="H37" s="373">
        <f t="shared" si="5"/>
        <v>596.68651397896008</v>
      </c>
      <c r="I37" s="373">
        <f t="shared" si="6"/>
        <v>1342.2563501355839</v>
      </c>
      <c r="J37" s="365">
        <f t="shared" si="2"/>
        <v>1910.0983726822615</v>
      </c>
      <c r="K37" s="373">
        <f t="shared" si="7"/>
        <v>636.69945756075367</v>
      </c>
      <c r="O37" s="325"/>
      <c r="P37" s="325"/>
      <c r="Q37" s="325"/>
    </row>
    <row r="38" spans="1:17" s="31" customFormat="1" ht="15" customHeight="1" x14ac:dyDescent="0.2">
      <c r="A38" s="93">
        <f t="shared" si="8"/>
        <v>7</v>
      </c>
      <c r="B38" s="855">
        <f t="shared" si="8"/>
        <v>2022</v>
      </c>
      <c r="C38" s="1153">
        <f>IF(A38&gt;F$23,0,IF(A38=F$23,C$20-SUM(C$32:C37),C$18))</f>
        <v>682</v>
      </c>
      <c r="E38" s="366">
        <f t="shared" si="1"/>
        <v>0.7397696491148138</v>
      </c>
      <c r="F38" s="365">
        <f t="shared" si="3"/>
        <v>504.522900696303</v>
      </c>
      <c r="G38" s="372">
        <f t="shared" si="4"/>
        <v>59.05927940596569</v>
      </c>
      <c r="H38" s="373">
        <f t="shared" si="5"/>
        <v>622.94072059403436</v>
      </c>
      <c r="I38" s="373">
        <f t="shared" si="6"/>
        <v>719.31562954154958</v>
      </c>
      <c r="J38" s="365">
        <f t="shared" si="2"/>
        <v>1273.3989151215078</v>
      </c>
      <c r="K38" s="373">
        <f t="shared" si="7"/>
        <v>636.69945756075367</v>
      </c>
      <c r="O38" s="325"/>
      <c r="P38" s="325"/>
      <c r="Q38" s="325"/>
    </row>
    <row r="39" spans="1:17" s="31" customFormat="1" ht="15" customHeight="1" x14ac:dyDescent="0.2">
      <c r="A39" s="93">
        <f t="shared" si="8"/>
        <v>8</v>
      </c>
      <c r="B39" s="855">
        <f t="shared" si="8"/>
        <v>2023</v>
      </c>
      <c r="C39" s="1153">
        <f>IF(A39&gt;F$23,0,IF(A39=F$23,C$20-SUM(C$32:C38),C$18))</f>
        <v>682</v>
      </c>
      <c r="E39" s="366">
        <f t="shared" si="1"/>
        <v>0.70859161792606684</v>
      </c>
      <c r="F39" s="365">
        <f t="shared" si="3"/>
        <v>483.25948342557757</v>
      </c>
      <c r="G39" s="372">
        <f t="shared" si="4"/>
        <v>31.649887699828181</v>
      </c>
      <c r="H39" s="373">
        <f t="shared" si="5"/>
        <v>650.35011230017187</v>
      </c>
      <c r="I39" s="373">
        <f t="shared" si="6"/>
        <v>68.965517241377711</v>
      </c>
      <c r="J39" s="365">
        <f t="shared" si="2"/>
        <v>636.69945756075413</v>
      </c>
      <c r="K39" s="373">
        <f t="shared" si="7"/>
        <v>636.69945756075367</v>
      </c>
      <c r="O39" s="325"/>
      <c r="P39" s="325"/>
      <c r="Q39" s="325"/>
    </row>
    <row r="40" spans="1:17" s="31" customFormat="1" ht="15" customHeight="1" x14ac:dyDescent="0.2">
      <c r="A40" s="93">
        <f t="shared" si="8"/>
        <v>9</v>
      </c>
      <c r="B40" s="855">
        <f t="shared" si="8"/>
        <v>2024</v>
      </c>
      <c r="C40" s="1153">
        <f>IF(A40&gt;F$23,0,IF(A40=F$23,C$20-SUM(C$32:C39),C$18))</f>
        <v>72</v>
      </c>
      <c r="E40" s="366">
        <f t="shared" si="1"/>
        <v>0.67872760337745863</v>
      </c>
      <c r="F40" s="365">
        <f t="shared" si="3"/>
        <v>48.868387443177021</v>
      </c>
      <c r="G40" s="372">
        <f t="shared" si="4"/>
        <v>3.0344827586206189</v>
      </c>
      <c r="H40" s="373">
        <f t="shared" si="5"/>
        <v>68.965517241379388</v>
      </c>
      <c r="I40" s="373">
        <f t="shared" si="6"/>
        <v>-1.6768808563938364E-12</v>
      </c>
      <c r="J40" s="365">
        <f t="shared" si="2"/>
        <v>0</v>
      </c>
      <c r="K40" s="373">
        <f t="shared" si="7"/>
        <v>636.69945756075367</v>
      </c>
      <c r="O40" s="325"/>
      <c r="P40" s="325"/>
      <c r="Q40" s="325"/>
    </row>
    <row r="41" spans="1:17" s="31" customFormat="1" ht="15" customHeight="1" x14ac:dyDescent="0.2">
      <c r="A41" s="93">
        <f t="shared" si="8"/>
        <v>10</v>
      </c>
      <c r="B41" s="855">
        <f t="shared" si="8"/>
        <v>2025</v>
      </c>
      <c r="C41" s="1153">
        <f>IF(A41&gt;F$23,0,IF(A41=F$23,C$20-SUM(C$32:C40),C$18))</f>
        <v>0</v>
      </c>
      <c r="E41" s="366">
        <f t="shared" si="1"/>
        <v>0.65012222545733589</v>
      </c>
      <c r="F41" s="365">
        <f t="shared" si="3"/>
        <v>0</v>
      </c>
      <c r="G41" s="372">
        <f t="shared" si="4"/>
        <v>-7.3782757681328793E-14</v>
      </c>
      <c r="H41" s="373">
        <f t="shared" si="5"/>
        <v>7.3782757681328793E-14</v>
      </c>
      <c r="I41" s="373">
        <f t="shared" si="6"/>
        <v>-1.7506636140751651E-12</v>
      </c>
      <c r="J41" s="365">
        <f t="shared" si="2"/>
        <v>0</v>
      </c>
      <c r="K41" s="373">
        <f t="shared" si="7"/>
        <v>0</v>
      </c>
      <c r="O41" s="325"/>
      <c r="P41" s="325"/>
      <c r="Q41" s="325"/>
    </row>
    <row r="42" spans="1:17" s="31" customFormat="1" ht="15" customHeight="1" x14ac:dyDescent="0.2">
      <c r="A42" s="93">
        <f t="shared" si="8"/>
        <v>11</v>
      </c>
      <c r="B42" s="855">
        <f t="shared" si="8"/>
        <v>2026</v>
      </c>
      <c r="C42" s="1153">
        <f>IF(A42&gt;F$23,0,IF(A42=F$23,C$20-SUM(C$32:C41),C$18))</f>
        <v>0</v>
      </c>
      <c r="E42" s="366">
        <f t="shared" si="1"/>
        <v>0.62272243817752471</v>
      </c>
      <c r="F42" s="365">
        <f t="shared" si="3"/>
        <v>0</v>
      </c>
      <c r="G42" s="372">
        <f t="shared" si="4"/>
        <v>-7.7029199019307263E-14</v>
      </c>
      <c r="H42" s="373">
        <f t="shared" si="5"/>
        <v>7.7029199019307263E-14</v>
      </c>
      <c r="I42" s="373">
        <f t="shared" si="6"/>
        <v>-1.8276928130944725E-12</v>
      </c>
      <c r="J42" s="365">
        <f t="shared" si="2"/>
        <v>0</v>
      </c>
      <c r="K42" s="373">
        <f t="shared" si="7"/>
        <v>0</v>
      </c>
      <c r="O42" s="325"/>
      <c r="P42" s="325"/>
      <c r="Q42" s="325"/>
    </row>
    <row r="43" spans="1:17" s="31" customFormat="1" ht="15" customHeight="1" x14ac:dyDescent="0.2">
      <c r="A43" s="93">
        <f t="shared" si="8"/>
        <v>12</v>
      </c>
      <c r="B43" s="855">
        <f t="shared" si="8"/>
        <v>2027</v>
      </c>
      <c r="C43" s="1153">
        <f>IF(A43&gt;F$23,0,IF(A43=F$23,C$20-SUM(C$32:C42),C$18))</f>
        <v>0</v>
      </c>
      <c r="E43" s="366">
        <f t="shared" si="1"/>
        <v>0.59647743120452557</v>
      </c>
      <c r="F43" s="365">
        <f t="shared" si="3"/>
        <v>0</v>
      </c>
      <c r="G43" s="372">
        <f t="shared" si="4"/>
        <v>-8.0418483776156788E-14</v>
      </c>
      <c r="H43" s="373">
        <f t="shared" si="5"/>
        <v>8.0418483776156788E-14</v>
      </c>
      <c r="I43" s="373">
        <f t="shared" si="6"/>
        <v>-1.9081112968706295E-12</v>
      </c>
      <c r="J43" s="365">
        <f t="shared" si="2"/>
        <v>0</v>
      </c>
      <c r="K43" s="373">
        <f t="shared" si="7"/>
        <v>0</v>
      </c>
      <c r="O43" s="325"/>
      <c r="P43" s="325"/>
      <c r="Q43" s="325"/>
    </row>
    <row r="44" spans="1:17" s="31" customFormat="1" ht="15" customHeight="1" x14ac:dyDescent="0.2">
      <c r="A44" s="93">
        <f t="shared" si="8"/>
        <v>13</v>
      </c>
      <c r="B44" s="855">
        <f t="shared" si="8"/>
        <v>2028</v>
      </c>
      <c r="C44" s="1153">
        <f>IF(A44&gt;F$23,0,IF(A44=F$23,C$20-SUM(C$32:C43),C$18))</f>
        <v>0</v>
      </c>
      <c r="E44" s="366">
        <f t="shared" si="1"/>
        <v>0.57133853563651882</v>
      </c>
      <c r="F44" s="365">
        <f t="shared" si="3"/>
        <v>0</v>
      </c>
      <c r="G44" s="372">
        <f t="shared" si="4"/>
        <v>-8.3956897062307692E-14</v>
      </c>
      <c r="H44" s="373">
        <f t="shared" si="5"/>
        <v>8.3956897062307692E-14</v>
      </c>
      <c r="I44" s="373">
        <f t="shared" si="6"/>
        <v>-1.9920681939329374E-12</v>
      </c>
      <c r="J44" s="365">
        <f t="shared" si="2"/>
        <v>0</v>
      </c>
      <c r="K44" s="373">
        <f t="shared" si="7"/>
        <v>0</v>
      </c>
      <c r="O44" s="325"/>
      <c r="P44" s="325"/>
      <c r="Q44" s="325"/>
    </row>
    <row r="45" spans="1:17" s="31" customFormat="1" ht="15" customHeight="1" x14ac:dyDescent="0.2">
      <c r="A45" s="93">
        <f t="shared" si="8"/>
        <v>14</v>
      </c>
      <c r="B45" s="855">
        <f t="shared" si="8"/>
        <v>2029</v>
      </c>
      <c r="C45" s="1153">
        <f>IF(A45&gt;F$23,0,IF(A45=F$23,C$20-SUM(C$32:C44),C$18))</f>
        <v>0</v>
      </c>
      <c r="E45" s="366">
        <f t="shared" si="1"/>
        <v>0.54725913375145474</v>
      </c>
      <c r="F45" s="365">
        <f t="shared" si="3"/>
        <v>0</v>
      </c>
      <c r="G45" s="372">
        <f t="shared" si="4"/>
        <v>-8.7651000533049237E-14</v>
      </c>
      <c r="H45" s="373">
        <f t="shared" si="5"/>
        <v>8.7651000533049237E-14</v>
      </c>
      <c r="I45" s="373">
        <f t="shared" si="6"/>
        <v>-2.0797191944659867E-12</v>
      </c>
      <c r="J45" s="365">
        <f t="shared" si="2"/>
        <v>0</v>
      </c>
      <c r="K45" s="373">
        <f t="shared" si="7"/>
        <v>0</v>
      </c>
      <c r="O45" s="325"/>
      <c r="P45" s="325"/>
      <c r="Q45" s="325"/>
    </row>
    <row r="46" spans="1:17" s="31" customFormat="1" ht="15" customHeight="1" x14ac:dyDescent="0.2">
      <c r="A46" s="93">
        <f t="shared" si="8"/>
        <v>15</v>
      </c>
      <c r="B46" s="855">
        <f t="shared" si="8"/>
        <v>2030</v>
      </c>
      <c r="C46" s="1153">
        <f>IF(A46&gt;F$23,0,IF(A46=F$23,C$20-SUM(C$32:C45),C$18))</f>
        <v>0</v>
      </c>
      <c r="E46" s="366">
        <f t="shared" si="1"/>
        <v>0.52419457255886459</v>
      </c>
      <c r="F46" s="365">
        <f t="shared" si="3"/>
        <v>0</v>
      </c>
      <c r="G46" s="372">
        <f t="shared" si="4"/>
        <v>-9.1507644556503416E-14</v>
      </c>
      <c r="H46" s="373">
        <f t="shared" si="5"/>
        <v>9.1507644556503416E-14</v>
      </c>
      <c r="I46" s="373">
        <f t="shared" si="6"/>
        <v>-2.1712268390224902E-12</v>
      </c>
      <c r="J46" s="365">
        <f t="shared" si="2"/>
        <v>0</v>
      </c>
      <c r="K46" s="373">
        <f t="shared" si="7"/>
        <v>0</v>
      </c>
      <c r="O46" s="325"/>
      <c r="P46" s="325"/>
      <c r="Q46" s="325"/>
    </row>
    <row r="47" spans="1:17" s="31" customFormat="1" ht="15" customHeight="1" x14ac:dyDescent="0.2">
      <c r="A47" s="93">
        <f t="shared" si="8"/>
        <v>16</v>
      </c>
      <c r="B47" s="855">
        <f t="shared" si="8"/>
        <v>2031</v>
      </c>
      <c r="C47" s="1153">
        <f>IF(A47&gt;F$23,0,IF(A47=F$23,C$20-SUM(C$32:C46),C$18))</f>
        <v>0</v>
      </c>
      <c r="E47" s="366">
        <f t="shared" si="1"/>
        <v>0.50210208099508113</v>
      </c>
      <c r="F47" s="365">
        <f t="shared" si="3"/>
        <v>0</v>
      </c>
      <c r="G47" s="372">
        <f t="shared" si="4"/>
        <v>-9.5533980916989562E-14</v>
      </c>
      <c r="H47" s="373">
        <f t="shared" si="5"/>
        <v>9.5533980916989562E-14</v>
      </c>
      <c r="I47" s="373">
        <f t="shared" si="6"/>
        <v>-2.2667608199394799E-12</v>
      </c>
      <c r="J47" s="365">
        <f t="shared" si="2"/>
        <v>0</v>
      </c>
      <c r="K47" s="373">
        <f t="shared" si="7"/>
        <v>0</v>
      </c>
      <c r="O47" s="325"/>
      <c r="P47" s="325"/>
      <c r="Q47" s="325"/>
    </row>
    <row r="48" spans="1:17" s="31" customFormat="1" ht="15" customHeight="1" x14ac:dyDescent="0.2">
      <c r="A48" s="93">
        <f t="shared" si="8"/>
        <v>17</v>
      </c>
      <c r="B48" s="855">
        <f t="shared" si="8"/>
        <v>2032</v>
      </c>
      <c r="C48" s="1153">
        <f>IF(A48&gt;F$23,0,IF(A48=F$23,C$20-SUM(C$32:C47),C$18))</f>
        <v>0</v>
      </c>
      <c r="E48" s="366">
        <f t="shared" si="1"/>
        <v>0.48094069060831529</v>
      </c>
      <c r="F48" s="365">
        <f t="shared" si="3"/>
        <v>0</v>
      </c>
      <c r="G48" s="372">
        <f t="shared" si="4"/>
        <v>-9.9737476077337108E-14</v>
      </c>
      <c r="H48" s="373">
        <f t="shared" si="5"/>
        <v>9.9737476077337108E-14</v>
      </c>
      <c r="I48" s="373">
        <f t="shared" si="6"/>
        <v>-2.3664982960168171E-12</v>
      </c>
      <c r="J48" s="365">
        <f t="shared" si="2"/>
        <v>0</v>
      </c>
      <c r="K48" s="373">
        <f t="shared" si="7"/>
        <v>0</v>
      </c>
      <c r="O48" s="325"/>
      <c r="P48" s="325"/>
      <c r="Q48" s="325"/>
    </row>
    <row r="49" spans="1:17" s="31" customFormat="1" ht="15" customHeight="1" x14ac:dyDescent="0.2">
      <c r="A49" s="93">
        <f t="shared" si="8"/>
        <v>18</v>
      </c>
      <c r="B49" s="855">
        <f t="shared" si="8"/>
        <v>2033</v>
      </c>
      <c r="C49" s="1153">
        <f>IF(A49&gt;F$23,0,IF(A49=F$23,C$20-SUM(C$32:C48),C$18))</f>
        <v>0</v>
      </c>
      <c r="E49" s="366">
        <f t="shared" si="1"/>
        <v>0.46067115958650884</v>
      </c>
      <c r="F49" s="365">
        <f t="shared" si="3"/>
        <v>0</v>
      </c>
      <c r="G49" s="372">
        <f t="shared" si="4"/>
        <v>-1.0412592502473994E-13</v>
      </c>
      <c r="H49" s="373">
        <f t="shared" si="5"/>
        <v>1.0412592502473994E-13</v>
      </c>
      <c r="I49" s="373">
        <f t="shared" si="6"/>
        <v>-2.4706242210415569E-12</v>
      </c>
      <c r="J49" s="365">
        <f t="shared" si="2"/>
        <v>0</v>
      </c>
      <c r="K49" s="373">
        <f t="shared" si="7"/>
        <v>0</v>
      </c>
      <c r="O49" s="325"/>
      <c r="P49" s="325"/>
      <c r="Q49" s="325"/>
    </row>
    <row r="50" spans="1:17" s="31" customFormat="1" ht="15" customHeight="1" x14ac:dyDescent="0.2">
      <c r="A50" s="93">
        <f t="shared" si="8"/>
        <v>19</v>
      </c>
      <c r="B50" s="855">
        <f t="shared" si="8"/>
        <v>2034</v>
      </c>
      <c r="C50" s="1153">
        <f>IF(A50&gt;F$23,0,IF(A50=F$23,C$20-SUM(C$32:C49),C$18))</f>
        <v>0</v>
      </c>
      <c r="E50" s="366">
        <f t="shared" si="1"/>
        <v>0.44125589998707743</v>
      </c>
      <c r="F50" s="365">
        <f t="shared" si="3"/>
        <v>0</v>
      </c>
      <c r="G50" s="372">
        <f t="shared" si="4"/>
        <v>-1.087074657258285E-13</v>
      </c>
      <c r="H50" s="373">
        <f t="shared" si="5"/>
        <v>1.087074657258285E-13</v>
      </c>
      <c r="I50" s="373">
        <f t="shared" si="6"/>
        <v>-2.5793316867673856E-12</v>
      </c>
      <c r="J50" s="365">
        <f t="shared" si="2"/>
        <v>0</v>
      </c>
      <c r="K50" s="373">
        <f t="shared" si="7"/>
        <v>0</v>
      </c>
      <c r="O50" s="325"/>
      <c r="P50" s="325"/>
      <c r="Q50" s="325"/>
    </row>
    <row r="51" spans="1:17" ht="15" customHeight="1" x14ac:dyDescent="0.2">
      <c r="A51" s="93">
        <f t="shared" si="8"/>
        <v>20</v>
      </c>
      <c r="B51" s="855">
        <f t="shared" si="8"/>
        <v>2035</v>
      </c>
      <c r="C51" s="1153">
        <f>IF(A51&gt;F$23,0,IF(A51=F$23,C$20-SUM(C$32:C50),C$18))</f>
        <v>0</v>
      </c>
      <c r="E51" s="366">
        <f t="shared" si="1"/>
        <v>0.42265890803359907</v>
      </c>
      <c r="F51" s="365">
        <f t="shared" si="3"/>
        <v>0</v>
      </c>
      <c r="G51" s="372">
        <f t="shared" si="4"/>
        <v>-1.1349059421776496E-13</v>
      </c>
      <c r="H51" s="373">
        <f t="shared" si="5"/>
        <v>1.1349059421776496E-13</v>
      </c>
      <c r="I51" s="373">
        <f t="shared" si="6"/>
        <v>-2.6928222809851505E-12</v>
      </c>
      <c r="J51" s="365">
        <f t="shared" si="2"/>
        <v>0</v>
      </c>
      <c r="K51" s="373">
        <f t="shared" si="7"/>
        <v>0</v>
      </c>
    </row>
    <row r="52" spans="1:17" ht="15" customHeight="1" thickBot="1" x14ac:dyDescent="0.25">
      <c r="A52" s="352" t="s">
        <v>441</v>
      </c>
      <c r="C52" s="387">
        <f>SUM(C32:C51)</f>
        <v>6800</v>
      </c>
      <c r="F52" s="387">
        <f>SUM(F32:F51)</f>
        <v>5730.2951180467826</v>
      </c>
      <c r="G52" s="387">
        <f>SUM(G32:G51)</f>
        <v>1069.7048819532165</v>
      </c>
      <c r="H52" s="387">
        <f>SUM(H32:H51)</f>
        <v>5730.2951180467835</v>
      </c>
      <c r="I52" s="120"/>
      <c r="J52" s="120"/>
      <c r="K52" s="387">
        <f>SUM(K32:K51)</f>
        <v>5730.2951180467826</v>
      </c>
    </row>
    <row r="53" spans="1:17" ht="15" customHeight="1" x14ac:dyDescent="0.2">
      <c r="I53" s="33"/>
    </row>
    <row r="54" spans="1:17" ht="15" customHeight="1" x14ac:dyDescent="0.2">
      <c r="A54" s="359" t="s">
        <v>442</v>
      </c>
      <c r="B54" s="359" t="s">
        <v>443</v>
      </c>
      <c r="C54" s="367" t="s">
        <v>444</v>
      </c>
      <c r="D54" s="368"/>
      <c r="E54" s="359" t="s">
        <v>445</v>
      </c>
      <c r="F54" s="359" t="s">
        <v>446</v>
      </c>
      <c r="G54" s="359" t="s">
        <v>447</v>
      </c>
      <c r="H54" s="359" t="s">
        <v>448</v>
      </c>
      <c r="I54" s="325"/>
      <c r="J54" s="325"/>
      <c r="K54" s="325"/>
    </row>
    <row r="55" spans="1:17" ht="15" customHeight="1" x14ac:dyDescent="0.2">
      <c r="A55" s="362" t="s">
        <v>449</v>
      </c>
      <c r="B55" s="362" t="s">
        <v>450</v>
      </c>
      <c r="C55" s="369" t="s">
        <v>451</v>
      </c>
      <c r="D55" s="370"/>
      <c r="E55" s="371" t="s">
        <v>452</v>
      </c>
      <c r="F55" s="371" t="s">
        <v>453</v>
      </c>
      <c r="G55" s="371" t="s">
        <v>454</v>
      </c>
      <c r="H55" s="371" t="s">
        <v>455</v>
      </c>
      <c r="I55" s="325"/>
      <c r="J55" s="325"/>
      <c r="K55" s="325"/>
    </row>
    <row r="56" spans="1:17" ht="15" customHeight="1" x14ac:dyDescent="0.2">
      <c r="A56" s="1086" t="s">
        <v>424</v>
      </c>
      <c r="B56" s="1095" t="s">
        <v>60</v>
      </c>
      <c r="C56" s="1098" t="s">
        <v>59</v>
      </c>
      <c r="D56" s="1099"/>
      <c r="E56" s="1100"/>
      <c r="F56" s="1101"/>
      <c r="G56" s="1102" t="s">
        <v>456</v>
      </c>
      <c r="H56" s="1101"/>
      <c r="I56" s="325"/>
      <c r="J56" s="325"/>
      <c r="K56" s="325"/>
    </row>
    <row r="57" spans="1:17" ht="15" customHeight="1" x14ac:dyDescent="0.2">
      <c r="A57" s="1089" t="s">
        <v>430</v>
      </c>
      <c r="B57" s="1096" t="s">
        <v>457</v>
      </c>
      <c r="C57" s="1090" t="s">
        <v>113</v>
      </c>
      <c r="D57" s="1091"/>
      <c r="E57" s="1089" t="s">
        <v>72</v>
      </c>
      <c r="F57" s="1089" t="s">
        <v>45</v>
      </c>
      <c r="G57" s="1089" t="s">
        <v>458</v>
      </c>
      <c r="H57" s="1089" t="s">
        <v>459</v>
      </c>
      <c r="I57" s="325"/>
      <c r="J57" s="325"/>
      <c r="K57" s="325"/>
    </row>
    <row r="58" spans="1:17" ht="15" customHeight="1" x14ac:dyDescent="0.2">
      <c r="A58" s="1092" t="s">
        <v>429</v>
      </c>
      <c r="B58" s="1097" t="s">
        <v>460</v>
      </c>
      <c r="C58" s="1093" t="s">
        <v>115</v>
      </c>
      <c r="D58" s="1094"/>
      <c r="E58" s="1092" t="s">
        <v>115</v>
      </c>
      <c r="F58" s="1092" t="s">
        <v>115</v>
      </c>
      <c r="G58" s="1092" t="s">
        <v>461</v>
      </c>
      <c r="H58" s="1092" t="s">
        <v>461</v>
      </c>
    </row>
    <row r="59" spans="1:17" ht="15" customHeight="1" x14ac:dyDescent="0.2">
      <c r="A59" s="394">
        <f>B32</f>
        <v>2016</v>
      </c>
      <c r="B59" s="411">
        <f>C32</f>
        <v>1135</v>
      </c>
      <c r="C59" s="390">
        <f>G32</f>
        <v>252.13298519405842</v>
      </c>
      <c r="D59" s="390"/>
      <c r="E59" s="390">
        <f>K32</f>
        <v>636.69945756075367</v>
      </c>
      <c r="F59" s="390">
        <f>C59+E59</f>
        <v>888.83244275481206</v>
      </c>
      <c r="G59" s="390">
        <f>F59-B59</f>
        <v>-246.16755724518794</v>
      </c>
      <c r="H59" s="390">
        <f t="shared" ref="H59:H78" si="9">G59*(1-J$10)</f>
        <v>-160.00891220937217</v>
      </c>
    </row>
    <row r="60" spans="1:17" ht="15" customHeight="1" x14ac:dyDescent="0.2">
      <c r="A60" s="395">
        <f>B33</f>
        <v>2017</v>
      </c>
      <c r="B60" s="410">
        <f>C33</f>
        <v>1098</v>
      </c>
      <c r="C60" s="373">
        <f>G33</f>
        <v>213.28683654259697</v>
      </c>
      <c r="D60" s="373"/>
      <c r="E60" s="373">
        <f>K33</f>
        <v>636.69945756075367</v>
      </c>
      <c r="F60" s="373">
        <f>C60+E60</f>
        <v>849.9862941033507</v>
      </c>
      <c r="G60" s="373">
        <f t="shared" ref="G60:G78" si="10">F60-B60</f>
        <v>-248.0137058966493</v>
      </c>
      <c r="H60" s="373">
        <f t="shared" si="9"/>
        <v>-161.20890883282206</v>
      </c>
    </row>
    <row r="61" spans="1:17" ht="15" customHeight="1" x14ac:dyDescent="0.2">
      <c r="A61" s="395">
        <f t="shared" ref="A61:B76" si="11">B34</f>
        <v>2018</v>
      </c>
      <c r="B61" s="410">
        <f t="shared" si="11"/>
        <v>946</v>
      </c>
      <c r="C61" s="373">
        <f t="shared" ref="C61:C78" si="12">G34</f>
        <v>174.35945735047125</v>
      </c>
      <c r="D61" s="373"/>
      <c r="E61" s="373">
        <f t="shared" ref="E61:E78" si="13">K34</f>
        <v>636.69945756075367</v>
      </c>
      <c r="F61" s="373">
        <f t="shared" ref="F61:F78" si="14">C61+E61</f>
        <v>811.05891491122497</v>
      </c>
      <c r="G61" s="373">
        <f t="shared" si="10"/>
        <v>-134.94108508877503</v>
      </c>
      <c r="H61" s="373">
        <f t="shared" si="9"/>
        <v>-87.711705307703767</v>
      </c>
      <c r="L61" s="325"/>
      <c r="M61" s="325"/>
      <c r="N61" s="325"/>
    </row>
    <row r="62" spans="1:17" ht="15" customHeight="1" x14ac:dyDescent="0.2">
      <c r="A62" s="395">
        <f t="shared" si="11"/>
        <v>2019</v>
      </c>
      <c r="B62" s="410">
        <f t="shared" si="11"/>
        <v>821</v>
      </c>
      <c r="C62" s="373">
        <f t="shared" si="12"/>
        <v>140.40727347389199</v>
      </c>
      <c r="D62" s="373"/>
      <c r="E62" s="373">
        <f t="shared" si="13"/>
        <v>636.69945756075367</v>
      </c>
      <c r="F62" s="373">
        <f t="shared" si="14"/>
        <v>777.10673103464569</v>
      </c>
      <c r="G62" s="373">
        <f t="shared" si="10"/>
        <v>-43.893268965354309</v>
      </c>
      <c r="H62" s="373">
        <f t="shared" si="9"/>
        <v>-28.530624827480302</v>
      </c>
      <c r="L62" s="325"/>
      <c r="M62" s="325"/>
      <c r="N62" s="325"/>
    </row>
    <row r="63" spans="1:17" ht="15" customHeight="1" x14ac:dyDescent="0.2">
      <c r="A63" s="395">
        <f t="shared" si="11"/>
        <v>2020</v>
      </c>
      <c r="B63" s="410">
        <f t="shared" si="11"/>
        <v>682</v>
      </c>
      <c r="C63" s="373">
        <f t="shared" si="12"/>
        <v>110.46119350674323</v>
      </c>
      <c r="D63" s="373"/>
      <c r="E63" s="373">
        <f t="shared" si="13"/>
        <v>636.69945756075367</v>
      </c>
      <c r="F63" s="373">
        <f t="shared" si="14"/>
        <v>747.16065106749693</v>
      </c>
      <c r="G63" s="373">
        <f t="shared" si="10"/>
        <v>65.160651067496929</v>
      </c>
      <c r="H63" s="373">
        <f t="shared" si="9"/>
        <v>42.354423193873004</v>
      </c>
      <c r="L63" s="325"/>
      <c r="M63" s="325"/>
      <c r="N63" s="325"/>
    </row>
    <row r="64" spans="1:17" ht="15" customHeight="1" x14ac:dyDescent="0.2">
      <c r="A64" s="395">
        <f t="shared" si="11"/>
        <v>2021</v>
      </c>
      <c r="B64" s="410">
        <f t="shared" si="11"/>
        <v>682</v>
      </c>
      <c r="C64" s="373">
        <f t="shared" si="12"/>
        <v>85.313486021039935</v>
      </c>
      <c r="D64" s="373"/>
      <c r="E64" s="373">
        <f t="shared" si="13"/>
        <v>636.69945756075367</v>
      </c>
      <c r="F64" s="373">
        <f t="shared" si="14"/>
        <v>722.01294358179359</v>
      </c>
      <c r="G64" s="373">
        <f t="shared" si="10"/>
        <v>40.012943581793593</v>
      </c>
      <c r="H64" s="373">
        <f t="shared" si="9"/>
        <v>26.008413328165837</v>
      </c>
      <c r="L64" s="325"/>
      <c r="M64" s="325"/>
      <c r="N64" s="325"/>
    </row>
    <row r="65" spans="1:17" ht="15" customHeight="1" x14ac:dyDescent="0.2">
      <c r="A65" s="395">
        <f t="shared" si="11"/>
        <v>2022</v>
      </c>
      <c r="B65" s="410">
        <f t="shared" si="11"/>
        <v>682</v>
      </c>
      <c r="C65" s="373">
        <f t="shared" si="12"/>
        <v>59.05927940596569</v>
      </c>
      <c r="D65" s="373"/>
      <c r="E65" s="373">
        <f t="shared" si="13"/>
        <v>636.69945756075367</v>
      </c>
      <c r="F65" s="373">
        <f t="shared" si="14"/>
        <v>695.75873696671931</v>
      </c>
      <c r="G65" s="373">
        <f t="shared" si="10"/>
        <v>13.758736966719312</v>
      </c>
      <c r="H65" s="373">
        <f t="shared" si="9"/>
        <v>8.9431790283675525</v>
      </c>
      <c r="L65" s="325"/>
      <c r="M65" s="325"/>
      <c r="N65" s="325"/>
    </row>
    <row r="66" spans="1:17" ht="15" customHeight="1" x14ac:dyDescent="0.2">
      <c r="A66" s="395">
        <f t="shared" si="11"/>
        <v>2023</v>
      </c>
      <c r="B66" s="410">
        <f t="shared" si="11"/>
        <v>682</v>
      </c>
      <c r="C66" s="373">
        <f t="shared" si="12"/>
        <v>31.649887699828181</v>
      </c>
      <c r="D66" s="373"/>
      <c r="E66" s="373">
        <f t="shared" si="13"/>
        <v>636.69945756075367</v>
      </c>
      <c r="F66" s="373">
        <f t="shared" si="14"/>
        <v>668.3493452605818</v>
      </c>
      <c r="G66" s="373">
        <f t="shared" si="10"/>
        <v>-13.650654739418201</v>
      </c>
      <c r="H66" s="373">
        <f t="shared" si="9"/>
        <v>-8.8729255806218301</v>
      </c>
    </row>
    <row r="67" spans="1:17" s="31" customFormat="1" ht="15" customHeight="1" x14ac:dyDescent="0.2">
      <c r="A67" s="395">
        <f t="shared" si="11"/>
        <v>2024</v>
      </c>
      <c r="B67" s="410">
        <f t="shared" si="11"/>
        <v>72</v>
      </c>
      <c r="C67" s="373">
        <f t="shared" si="12"/>
        <v>3.0344827586206189</v>
      </c>
      <c r="D67" s="373"/>
      <c r="E67" s="373">
        <f t="shared" si="13"/>
        <v>636.69945756075367</v>
      </c>
      <c r="F67" s="373">
        <f t="shared" si="14"/>
        <v>639.73394031937426</v>
      </c>
      <c r="G67" s="373">
        <f t="shared" si="10"/>
        <v>567.73394031937426</v>
      </c>
      <c r="H67" s="373">
        <f t="shared" si="9"/>
        <v>369.02706120759331</v>
      </c>
      <c r="O67" s="325"/>
      <c r="P67" s="325"/>
      <c r="Q67" s="325"/>
    </row>
    <row r="68" spans="1:17" s="31" customFormat="1" ht="15" customHeight="1" x14ac:dyDescent="0.2">
      <c r="A68" s="395">
        <f t="shared" si="11"/>
        <v>2025</v>
      </c>
      <c r="B68" s="410">
        <f t="shared" si="11"/>
        <v>0</v>
      </c>
      <c r="C68" s="373">
        <f t="shared" si="12"/>
        <v>-7.3782757681328793E-14</v>
      </c>
      <c r="D68" s="373"/>
      <c r="E68" s="373">
        <f t="shared" si="13"/>
        <v>0</v>
      </c>
      <c r="F68" s="373">
        <f t="shared" si="14"/>
        <v>-7.3782757681328793E-14</v>
      </c>
      <c r="G68" s="373">
        <f t="shared" si="10"/>
        <v>-7.3782757681328793E-14</v>
      </c>
      <c r="H68" s="373">
        <f t="shared" si="9"/>
        <v>-4.7958792492863716E-14</v>
      </c>
      <c r="O68" s="325"/>
      <c r="P68" s="325"/>
      <c r="Q68" s="325"/>
    </row>
    <row r="69" spans="1:17" s="31" customFormat="1" ht="15" customHeight="1" x14ac:dyDescent="0.2">
      <c r="A69" s="395">
        <f t="shared" si="11"/>
        <v>2026</v>
      </c>
      <c r="B69" s="410">
        <f t="shared" si="11"/>
        <v>0</v>
      </c>
      <c r="C69" s="373">
        <f t="shared" si="12"/>
        <v>-7.7029199019307263E-14</v>
      </c>
      <c r="D69" s="373"/>
      <c r="E69" s="373">
        <f t="shared" si="13"/>
        <v>0</v>
      </c>
      <c r="F69" s="373">
        <f t="shared" si="14"/>
        <v>-7.7029199019307263E-14</v>
      </c>
      <c r="G69" s="373">
        <f t="shared" si="10"/>
        <v>-7.7029199019307263E-14</v>
      </c>
      <c r="H69" s="373">
        <f t="shared" si="9"/>
        <v>-5.0068979362549721E-14</v>
      </c>
      <c r="O69" s="325"/>
      <c r="P69" s="325"/>
      <c r="Q69" s="325"/>
    </row>
    <row r="70" spans="1:17" s="31" customFormat="1" ht="15" customHeight="1" x14ac:dyDescent="0.2">
      <c r="A70" s="395">
        <f t="shared" si="11"/>
        <v>2027</v>
      </c>
      <c r="B70" s="410">
        <f t="shared" si="11"/>
        <v>0</v>
      </c>
      <c r="C70" s="373">
        <f t="shared" si="12"/>
        <v>-8.0418483776156788E-14</v>
      </c>
      <c r="D70" s="373"/>
      <c r="E70" s="373">
        <f t="shared" si="13"/>
        <v>0</v>
      </c>
      <c r="F70" s="373">
        <f t="shared" si="14"/>
        <v>-8.0418483776156788E-14</v>
      </c>
      <c r="G70" s="373">
        <f t="shared" si="10"/>
        <v>-8.0418483776156788E-14</v>
      </c>
      <c r="H70" s="373">
        <f t="shared" si="9"/>
        <v>-5.2272014454501912E-14</v>
      </c>
      <c r="O70" s="325"/>
      <c r="P70" s="325"/>
      <c r="Q70" s="325"/>
    </row>
    <row r="71" spans="1:17" s="31" customFormat="1" ht="15" customHeight="1" x14ac:dyDescent="0.2">
      <c r="A71" s="395">
        <f t="shared" si="11"/>
        <v>2028</v>
      </c>
      <c r="B71" s="410">
        <f t="shared" si="11"/>
        <v>0</v>
      </c>
      <c r="C71" s="373">
        <f t="shared" si="12"/>
        <v>-8.3956897062307692E-14</v>
      </c>
      <c r="D71" s="373"/>
      <c r="E71" s="373">
        <f t="shared" si="13"/>
        <v>0</v>
      </c>
      <c r="F71" s="373">
        <f t="shared" si="14"/>
        <v>-8.3956897062307692E-14</v>
      </c>
      <c r="G71" s="373">
        <f t="shared" si="10"/>
        <v>-8.3956897062307692E-14</v>
      </c>
      <c r="H71" s="373">
        <f t="shared" si="9"/>
        <v>-5.4571983090500001E-14</v>
      </c>
      <c r="O71" s="325"/>
      <c r="P71" s="325"/>
      <c r="Q71" s="325"/>
    </row>
    <row r="72" spans="1:17" s="31" customFormat="1" ht="15" customHeight="1" x14ac:dyDescent="0.2">
      <c r="A72" s="395">
        <f t="shared" si="11"/>
        <v>2029</v>
      </c>
      <c r="B72" s="410">
        <f t="shared" si="11"/>
        <v>0</v>
      </c>
      <c r="C72" s="373">
        <f t="shared" si="12"/>
        <v>-8.7651000533049237E-14</v>
      </c>
      <c r="D72" s="373"/>
      <c r="E72" s="373">
        <f t="shared" si="13"/>
        <v>0</v>
      </c>
      <c r="F72" s="373">
        <f t="shared" si="14"/>
        <v>-8.7651000533049237E-14</v>
      </c>
      <c r="G72" s="373">
        <f t="shared" si="10"/>
        <v>-8.7651000533049237E-14</v>
      </c>
      <c r="H72" s="373">
        <f t="shared" si="9"/>
        <v>-5.6973150346482007E-14</v>
      </c>
      <c r="O72" s="325"/>
      <c r="P72" s="325"/>
      <c r="Q72" s="325"/>
    </row>
    <row r="73" spans="1:17" s="31" customFormat="1" ht="15" customHeight="1" x14ac:dyDescent="0.2">
      <c r="A73" s="395">
        <f t="shared" si="11"/>
        <v>2030</v>
      </c>
      <c r="B73" s="410">
        <f t="shared" si="11"/>
        <v>0</v>
      </c>
      <c r="C73" s="373">
        <f t="shared" si="12"/>
        <v>-9.1507644556503416E-14</v>
      </c>
      <c r="D73" s="373"/>
      <c r="E73" s="373">
        <f t="shared" si="13"/>
        <v>0</v>
      </c>
      <c r="F73" s="373">
        <f t="shared" si="14"/>
        <v>-9.1507644556503416E-14</v>
      </c>
      <c r="G73" s="373">
        <f t="shared" si="10"/>
        <v>-9.1507644556503416E-14</v>
      </c>
      <c r="H73" s="373">
        <f t="shared" si="9"/>
        <v>-5.9479968961727222E-14</v>
      </c>
      <c r="O73" s="325"/>
      <c r="P73" s="325"/>
      <c r="Q73" s="325"/>
    </row>
    <row r="74" spans="1:17" s="31" customFormat="1" ht="15" customHeight="1" x14ac:dyDescent="0.2">
      <c r="A74" s="395">
        <f t="shared" si="11"/>
        <v>2031</v>
      </c>
      <c r="B74" s="410">
        <f t="shared" si="11"/>
        <v>0</v>
      </c>
      <c r="C74" s="373">
        <f t="shared" si="12"/>
        <v>-9.5533980916989562E-14</v>
      </c>
      <c r="D74" s="373"/>
      <c r="E74" s="373">
        <f t="shared" si="13"/>
        <v>0</v>
      </c>
      <c r="F74" s="373">
        <f t="shared" si="14"/>
        <v>-9.5533980916989562E-14</v>
      </c>
      <c r="G74" s="373">
        <f t="shared" si="10"/>
        <v>-9.5533980916989562E-14</v>
      </c>
      <c r="H74" s="373">
        <f t="shared" si="9"/>
        <v>-6.2097087596043215E-14</v>
      </c>
      <c r="O74" s="325"/>
      <c r="P74" s="325"/>
      <c r="Q74" s="325"/>
    </row>
    <row r="75" spans="1:17" s="31" customFormat="1" ht="15" customHeight="1" x14ac:dyDescent="0.2">
      <c r="A75" s="395">
        <f t="shared" si="11"/>
        <v>2032</v>
      </c>
      <c r="B75" s="410">
        <f t="shared" si="11"/>
        <v>0</v>
      </c>
      <c r="C75" s="373">
        <f t="shared" si="12"/>
        <v>-9.9737476077337108E-14</v>
      </c>
      <c r="D75" s="373"/>
      <c r="E75" s="373">
        <f t="shared" si="13"/>
        <v>0</v>
      </c>
      <c r="F75" s="373">
        <f t="shared" si="14"/>
        <v>-9.9737476077337108E-14</v>
      </c>
      <c r="G75" s="373">
        <f t="shared" si="10"/>
        <v>-9.9737476077337108E-14</v>
      </c>
      <c r="H75" s="373">
        <f t="shared" si="9"/>
        <v>-6.4829359450269128E-14</v>
      </c>
      <c r="O75" s="325"/>
      <c r="P75" s="325"/>
      <c r="Q75" s="325"/>
    </row>
    <row r="76" spans="1:17" s="31" customFormat="1" ht="15" customHeight="1" x14ac:dyDescent="0.2">
      <c r="A76" s="395">
        <f t="shared" si="11"/>
        <v>2033</v>
      </c>
      <c r="B76" s="410">
        <f t="shared" si="11"/>
        <v>0</v>
      </c>
      <c r="C76" s="373">
        <f t="shared" si="12"/>
        <v>-1.0412592502473994E-13</v>
      </c>
      <c r="D76" s="373"/>
      <c r="E76" s="373">
        <f t="shared" si="13"/>
        <v>0</v>
      </c>
      <c r="F76" s="373">
        <f t="shared" si="14"/>
        <v>-1.0412592502473994E-13</v>
      </c>
      <c r="G76" s="373">
        <f t="shared" si="10"/>
        <v>-1.0412592502473994E-13</v>
      </c>
      <c r="H76" s="373">
        <f t="shared" si="9"/>
        <v>-6.7681851266080962E-14</v>
      </c>
      <c r="O76" s="325"/>
      <c r="P76" s="325"/>
      <c r="Q76" s="325"/>
    </row>
    <row r="77" spans="1:17" s="31" customFormat="1" ht="15" customHeight="1" x14ac:dyDescent="0.2">
      <c r="A77" s="395">
        <f>B50</f>
        <v>2034</v>
      </c>
      <c r="B77" s="410">
        <f>C50</f>
        <v>0</v>
      </c>
      <c r="C77" s="373">
        <f t="shared" si="12"/>
        <v>-1.087074657258285E-13</v>
      </c>
      <c r="D77" s="373"/>
      <c r="E77" s="373">
        <f t="shared" si="13"/>
        <v>0</v>
      </c>
      <c r="F77" s="373">
        <f t="shared" si="14"/>
        <v>-1.087074657258285E-13</v>
      </c>
      <c r="G77" s="373">
        <f t="shared" si="10"/>
        <v>-1.087074657258285E-13</v>
      </c>
      <c r="H77" s="373">
        <f t="shared" si="9"/>
        <v>-7.0659852721788531E-14</v>
      </c>
      <c r="O77" s="325"/>
      <c r="P77" s="325"/>
      <c r="Q77" s="325"/>
    </row>
    <row r="78" spans="1:17" s="31" customFormat="1" ht="15" customHeight="1" x14ac:dyDescent="0.2">
      <c r="A78" s="395">
        <f>B51</f>
        <v>2035</v>
      </c>
      <c r="B78" s="410">
        <f>C51</f>
        <v>0</v>
      </c>
      <c r="C78" s="373">
        <f t="shared" si="12"/>
        <v>-1.1349059421776496E-13</v>
      </c>
      <c r="D78" s="373"/>
      <c r="E78" s="373">
        <f t="shared" si="13"/>
        <v>0</v>
      </c>
      <c r="F78" s="373">
        <f t="shared" si="14"/>
        <v>-1.1349059421776496E-13</v>
      </c>
      <c r="G78" s="373">
        <f t="shared" si="10"/>
        <v>-1.1349059421776496E-13</v>
      </c>
      <c r="H78" s="373">
        <f t="shared" si="9"/>
        <v>-7.3768886241547224E-14</v>
      </c>
      <c r="O78" s="325"/>
      <c r="P78" s="325"/>
      <c r="Q78" s="325"/>
    </row>
    <row r="79" spans="1:17" s="31" customFormat="1" ht="15" customHeight="1" thickBot="1" x14ac:dyDescent="0.25">
      <c r="A79" s="372" t="s">
        <v>441</v>
      </c>
      <c r="B79" s="412">
        <f>SUM(B59:B78)</f>
        <v>6800</v>
      </c>
      <c r="C79" s="412">
        <f>SUM(C59:C78)</f>
        <v>1069.7048819532165</v>
      </c>
      <c r="D79" s="412"/>
      <c r="E79" s="412">
        <f>SUM(E59:E78)</f>
        <v>5730.2951180467826</v>
      </c>
      <c r="F79" s="412">
        <f>SUM(F59:F78)</f>
        <v>6799.9999999999991</v>
      </c>
      <c r="G79" s="412">
        <f>SUM(G59:G78)</f>
        <v>-1.6980624509210092E-12</v>
      </c>
      <c r="H79" s="412">
        <f>SUM(H59:H78)</f>
        <v>-1.1719526957316259E-12</v>
      </c>
      <c r="O79" s="325"/>
      <c r="P79" s="325"/>
      <c r="Q79" s="325"/>
    </row>
    <row r="80" spans="1:17" s="31" customFormat="1" ht="15" customHeight="1" x14ac:dyDescent="0.2">
      <c r="O80" s="325"/>
      <c r="P80" s="325"/>
      <c r="Q80" s="325"/>
    </row>
    <row r="81" spans="1:17" s="31" customFormat="1" ht="15" customHeight="1" x14ac:dyDescent="0.2">
      <c r="A81" s="1103" t="s">
        <v>469</v>
      </c>
      <c r="B81" s="1112"/>
      <c r="C81" s="1112"/>
      <c r="D81" s="1112"/>
      <c r="E81" s="1105">
        <f>C10</f>
        <v>2015</v>
      </c>
      <c r="F81" s="1112"/>
      <c r="G81" s="1106" t="s">
        <v>117</v>
      </c>
      <c r="H81" s="1106" t="s">
        <v>118</v>
      </c>
      <c r="I81" s="110"/>
      <c r="O81" s="325"/>
      <c r="P81" s="325"/>
      <c r="Q81" s="325"/>
    </row>
    <row r="82" spans="1:17" s="31" customFormat="1" ht="15" customHeight="1" x14ac:dyDescent="0.2">
      <c r="A82" s="325" t="s">
        <v>470</v>
      </c>
      <c r="B82" s="110"/>
      <c r="C82" s="110"/>
      <c r="D82" s="110"/>
      <c r="E82" s="110"/>
      <c r="F82" s="110"/>
      <c r="G82" s="381">
        <f>ROUND(J31,0)</f>
        <v>5730</v>
      </c>
      <c r="H82" s="381"/>
      <c r="I82" s="110"/>
      <c r="O82" s="325"/>
      <c r="P82" s="325"/>
      <c r="Q82" s="325"/>
    </row>
    <row r="83" spans="1:17" s="31" customFormat="1" ht="15" customHeight="1" x14ac:dyDescent="0.2">
      <c r="A83" s="325" t="s">
        <v>471</v>
      </c>
      <c r="B83" s="110"/>
      <c r="C83" s="110"/>
      <c r="D83" s="110"/>
      <c r="E83" s="110"/>
      <c r="F83" s="110"/>
      <c r="G83" s="381"/>
      <c r="H83" s="381">
        <f>ROUND(H32,0)</f>
        <v>883</v>
      </c>
      <c r="I83" s="110"/>
      <c r="O83" s="325"/>
      <c r="P83" s="325"/>
      <c r="Q83" s="325"/>
    </row>
    <row r="84" spans="1:17" s="31" customFormat="1" ht="15" customHeight="1" x14ac:dyDescent="0.2">
      <c r="A84" s="325" t="s">
        <v>472</v>
      </c>
      <c r="B84" s="110"/>
      <c r="C84" s="110"/>
      <c r="D84" s="110"/>
      <c r="E84" s="110"/>
      <c r="F84" s="110"/>
      <c r="G84" s="408"/>
      <c r="H84" s="75">
        <f>ROUND(I31,0)-ROUND(H32,0)</f>
        <v>4847</v>
      </c>
      <c r="I84" s="110"/>
      <c r="O84" s="325"/>
      <c r="P84" s="325"/>
      <c r="Q84" s="325"/>
    </row>
    <row r="85" spans="1:17" s="31" customFormat="1" ht="15" customHeight="1" thickBot="1" x14ac:dyDescent="0.25">
      <c r="A85" s="1107" t="s">
        <v>468</v>
      </c>
      <c r="B85" s="1104"/>
      <c r="C85" s="1104"/>
      <c r="D85" s="1104"/>
      <c r="E85" s="1104"/>
      <c r="F85" s="1104"/>
      <c r="G85" s="1108">
        <f>SUM(G82:G84)</f>
        <v>5730</v>
      </c>
      <c r="H85" s="1108">
        <f>SUM(H82:H84)</f>
        <v>5730</v>
      </c>
      <c r="I85" s="110"/>
      <c r="O85" s="325"/>
      <c r="P85" s="325"/>
      <c r="Q85" s="325"/>
    </row>
    <row r="87" spans="1:17" s="31" customFormat="1" ht="16.5" hidden="1" customHeight="1" x14ac:dyDescent="0.2">
      <c r="O87" s="325"/>
      <c r="P87" s="325"/>
      <c r="Q87" s="325"/>
    </row>
    <row r="88" spans="1:17" s="31" customFormat="1" ht="16.5" hidden="1" customHeight="1" x14ac:dyDescent="0.2">
      <c r="O88" s="325"/>
      <c r="P88" s="325"/>
      <c r="Q88" s="325"/>
    </row>
    <row r="89" spans="1:17" s="31" customFormat="1" ht="16.5" hidden="1" customHeight="1" x14ac:dyDescent="0.2">
      <c r="O89" s="325"/>
      <c r="P89" s="325"/>
      <c r="Q89" s="325"/>
    </row>
    <row r="90" spans="1:17" s="31" customFormat="1" ht="16.5" hidden="1" customHeight="1" x14ac:dyDescent="0.2">
      <c r="B90" s="110"/>
      <c r="C90" s="110"/>
      <c r="D90" s="110"/>
      <c r="E90" s="110"/>
      <c r="F90" s="110"/>
      <c r="G90" s="111"/>
      <c r="H90" s="111"/>
      <c r="I90" s="110"/>
      <c r="O90" s="325"/>
      <c r="P90" s="325"/>
      <c r="Q90" s="325"/>
    </row>
    <row r="91" spans="1:17" s="31" customFormat="1" ht="16.5" hidden="1" customHeight="1" x14ac:dyDescent="0.2">
      <c r="O91" s="325"/>
      <c r="P91" s="325"/>
      <c r="Q91" s="325"/>
    </row>
    <row r="92" spans="1:17" s="31" customFormat="1" ht="16.5" hidden="1" customHeight="1" x14ac:dyDescent="0.2">
      <c r="O92" s="325"/>
      <c r="P92" s="325"/>
      <c r="Q92" s="325"/>
    </row>
    <row r="93" spans="1:17" s="31" customFormat="1" ht="16.5" customHeight="1" x14ac:dyDescent="0.2">
      <c r="A93" s="397" t="s">
        <v>473</v>
      </c>
      <c r="B93" s="396"/>
      <c r="C93" s="396"/>
      <c r="D93" s="396"/>
      <c r="E93" s="398" t="str">
        <f>J7</f>
        <v>NA</v>
      </c>
      <c r="F93" s="396"/>
      <c r="G93" s="399" t="s">
        <v>117</v>
      </c>
      <c r="H93" s="399" t="s">
        <v>118</v>
      </c>
      <c r="I93" s="399" t="s">
        <v>462</v>
      </c>
    </row>
    <row r="94" spans="1:17" s="31" customFormat="1" ht="16.5" customHeight="1" x14ac:dyDescent="0.2">
      <c r="A94" s="397" t="s">
        <v>559</v>
      </c>
      <c r="B94" s="396"/>
      <c r="C94" s="396"/>
      <c r="D94" s="396"/>
      <c r="E94" s="396"/>
      <c r="F94" s="396"/>
      <c r="G94" s="400">
        <f>ROUND(C59,0)</f>
        <v>252</v>
      </c>
      <c r="H94" s="270"/>
      <c r="I94" s="400">
        <f>-G94</f>
        <v>-252</v>
      </c>
    </row>
    <row r="95" spans="1:17" s="31" customFormat="1" ht="16.5" customHeight="1" x14ac:dyDescent="0.2">
      <c r="A95" s="397" t="s">
        <v>476</v>
      </c>
      <c r="B95" s="396"/>
      <c r="C95" s="396"/>
      <c r="D95" s="396"/>
      <c r="E95" s="396"/>
      <c r="F95" s="396"/>
      <c r="G95" s="270">
        <f>ROUND(E59,0)</f>
        <v>637</v>
      </c>
      <c r="H95" s="270"/>
      <c r="I95" s="270">
        <f>-G95</f>
        <v>-637</v>
      </c>
    </row>
    <row r="96" spans="1:17" s="31" customFormat="1" ht="16.5" customHeight="1" x14ac:dyDescent="0.2">
      <c r="A96" s="1147" t="s">
        <v>1017</v>
      </c>
      <c r="B96" s="396"/>
      <c r="C96" s="396"/>
      <c r="D96" s="396"/>
      <c r="E96" s="396"/>
      <c r="F96" s="396"/>
      <c r="G96" s="270"/>
      <c r="H96" s="270">
        <f>-ROUND(B59,0)+ROUND(C59,0)+ROUND(E59,0)-(ROUND(G59,0)-ROUND(H59,0))</f>
        <v>-160</v>
      </c>
      <c r="I96" s="409" t="s">
        <v>119</v>
      </c>
    </row>
    <row r="97" spans="1:17" s="31" customFormat="1" ht="16.5" customHeight="1" x14ac:dyDescent="0.2">
      <c r="A97" s="1147" t="s">
        <v>477</v>
      </c>
      <c r="B97" s="396"/>
      <c r="C97" s="396"/>
      <c r="D97" s="396"/>
      <c r="E97" s="396"/>
      <c r="F97" s="396"/>
      <c r="G97" s="270"/>
      <c r="H97" s="270">
        <f>ROUND(B59,0)</f>
        <v>1135</v>
      </c>
      <c r="I97" s="270">
        <f>H97</f>
        <v>1135</v>
      </c>
    </row>
    <row r="98" spans="1:17" s="31" customFormat="1" ht="16.5" customHeight="1" x14ac:dyDescent="0.2">
      <c r="A98" s="1147" t="s">
        <v>1018</v>
      </c>
      <c r="B98" s="396"/>
      <c r="C98" s="396"/>
      <c r="D98" s="396"/>
      <c r="E98" s="396"/>
      <c r="F98" s="396"/>
      <c r="G98" s="1148">
        <f>IF(G94+G95-H97&lt;0,-(ROUND(G59,0)-ROUND(H59,0)),0)</f>
        <v>86</v>
      </c>
      <c r="H98" s="1148">
        <f>IF(G94+G95-H97&gt;0,ROUND(G59,0)-ROUND(H59,0),0)</f>
        <v>0</v>
      </c>
      <c r="I98" s="270">
        <f>-H98</f>
        <v>0</v>
      </c>
    </row>
    <row r="99" spans="1:17" ht="16.5" customHeight="1" thickBot="1" x14ac:dyDescent="0.25">
      <c r="A99" s="403" t="s">
        <v>468</v>
      </c>
      <c r="B99" s="396"/>
      <c r="C99" s="396"/>
      <c r="D99" s="396"/>
      <c r="E99" s="396"/>
      <c r="F99" s="396"/>
      <c r="G99" s="404">
        <f>SUM(G94:G98)</f>
        <v>975</v>
      </c>
      <c r="H99" s="404">
        <f>SUM(H94:H98)</f>
        <v>975</v>
      </c>
      <c r="I99" s="404">
        <f>SUM(I94:I98)</f>
        <v>246</v>
      </c>
    </row>
    <row r="100" spans="1:17" ht="16.5" customHeight="1" x14ac:dyDescent="0.2">
      <c r="B100" s="110"/>
      <c r="C100" s="110"/>
      <c r="D100" s="110"/>
      <c r="E100" s="110"/>
      <c r="F100" s="110"/>
      <c r="G100" s="111"/>
      <c r="H100" s="111"/>
      <c r="I100" s="111"/>
    </row>
    <row r="107" spans="1:17" s="377" customFormat="1" ht="16.5" customHeight="1" x14ac:dyDescent="0.2">
      <c r="A107" s="375"/>
      <c r="B107" s="376"/>
      <c r="C107" s="376"/>
      <c r="D107" s="376"/>
      <c r="E107" s="376"/>
      <c r="F107" s="376"/>
      <c r="G107" s="376"/>
      <c r="H107" s="376"/>
      <c r="I107" s="56"/>
      <c r="J107" s="39"/>
      <c r="K107" s="39"/>
      <c r="L107" s="39"/>
      <c r="M107" s="39"/>
      <c r="N107" s="39"/>
      <c r="Q107" s="39"/>
    </row>
  </sheetData>
  <phoneticPr fontId="137" type="noConversion"/>
  <pageMargins left="0.15" right="0.15" top="0.25" bottom="0.25" header="0.25" footer="0.25"/>
  <pageSetup orientation="portrait" r:id="rId1"/>
  <rowBreaks count="1" manualBreakCount="1">
    <brk id="53" max="10" man="1"/>
  </rowBreaks>
  <drawing r:id="rId2"/>
  <legacyDrawing r:id="rId3"/>
  <extLst>
    <ext xmlns:mx="http://schemas.microsoft.com/office/mac/excel/2008/main" uri="http://schemas.microsoft.com/office/mac/excel/2008/main">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Z25"/>
  <sheetViews>
    <sheetView workbookViewId="0">
      <selection activeCell="I14" sqref="I14"/>
    </sheetView>
  </sheetViews>
  <sheetFormatPr defaultColWidth="10.5703125" defaultRowHeight="16.5" customHeight="1" x14ac:dyDescent="0.2"/>
  <cols>
    <col min="1" max="1" width="55.5703125" style="682" customWidth="1"/>
    <col min="2" max="256" width="8.5703125" style="682" customWidth="1"/>
    <col min="257" max="16384" width="10.5703125" style="682"/>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1008"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710" customFormat="1" ht="16.5" customHeight="1" x14ac:dyDescent="0.2">
      <c r="A7" s="891" t="s">
        <v>813</v>
      </c>
    </row>
    <row r="8" spans="1:26" s="857" customFormat="1" ht="9" customHeight="1" x14ac:dyDescent="0.2">
      <c r="G8" s="1169"/>
      <c r="H8" s="1169"/>
      <c r="I8" s="1169"/>
      <c r="J8" s="1169"/>
      <c r="K8" s="1169"/>
      <c r="L8" s="1169"/>
      <c r="M8" s="1169"/>
      <c r="N8" s="1169"/>
      <c r="O8" s="1169"/>
      <c r="P8" s="1169"/>
      <c r="Q8" s="1169"/>
      <c r="R8" s="1169"/>
      <c r="S8" s="1169"/>
      <c r="T8" s="1169"/>
      <c r="U8" s="1169"/>
      <c r="V8" s="1169"/>
      <c r="W8" s="1169"/>
      <c r="X8" s="1169"/>
      <c r="Y8" s="1169"/>
      <c r="Z8" s="1169"/>
    </row>
    <row r="9" spans="1:26" s="857" customFormat="1" ht="16.5" customHeight="1" x14ac:dyDescent="0.2">
      <c r="A9" s="246" t="s">
        <v>241</v>
      </c>
      <c r="B9" s="50" t="s">
        <v>493</v>
      </c>
      <c r="C9" s="50"/>
      <c r="D9" s="50"/>
      <c r="E9" s="50"/>
      <c r="F9" s="50"/>
      <c r="G9" s="1169"/>
      <c r="H9" s="1169"/>
      <c r="I9" s="1169"/>
      <c r="J9" s="1169"/>
      <c r="K9" s="1169"/>
      <c r="L9" s="1169"/>
      <c r="M9" s="1169"/>
      <c r="N9" s="1169"/>
      <c r="O9" s="1169"/>
      <c r="P9" s="1169"/>
      <c r="Q9" s="1169"/>
      <c r="R9" s="1169"/>
      <c r="S9" s="1169"/>
      <c r="T9" s="1169"/>
      <c r="U9" s="1169"/>
      <c r="V9" s="1169"/>
      <c r="W9" s="1169"/>
      <c r="X9" s="1169"/>
      <c r="Y9" s="1169"/>
      <c r="Z9" s="1169"/>
    </row>
    <row r="10" spans="1:26" s="857" customFormat="1" ht="16.5" customHeight="1" x14ac:dyDescent="0.2">
      <c r="B10" s="644">
        <f>'BS Analysis Adjustments'!B1</f>
        <v>2011</v>
      </c>
      <c r="C10" s="644">
        <f>'BS Analysis Adjustments'!L1</f>
        <v>2012</v>
      </c>
      <c r="D10" s="644">
        <f>'BS Analysis Adjustments'!V1</f>
        <v>2013</v>
      </c>
      <c r="E10" s="644">
        <f>'BS Analysis Adjustments'!AF1</f>
        <v>2014</v>
      </c>
      <c r="F10" s="644">
        <f>'BS Analysis Adjustments'!AP1</f>
        <v>2015</v>
      </c>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790" customFormat="1" ht="16.5" customHeight="1" x14ac:dyDescent="0.2">
      <c r="A11" s="883" t="s">
        <v>867</v>
      </c>
      <c r="B11" s="900"/>
      <c r="C11" s="900"/>
      <c r="D11" s="900"/>
      <c r="E11" s="900"/>
      <c r="F11" s="900"/>
      <c r="G11" s="901"/>
      <c r="H11" s="901"/>
    </row>
    <row r="12" spans="1:26" s="902" customFormat="1" ht="16.5" customHeight="1" x14ac:dyDescent="0.2">
      <c r="A12" s="381" t="s">
        <v>772</v>
      </c>
      <c r="B12" s="1247">
        <v>7</v>
      </c>
      <c r="C12" s="1247">
        <v>7</v>
      </c>
      <c r="D12" s="1247">
        <v>7</v>
      </c>
      <c r="E12" s="1247">
        <v>8</v>
      </c>
      <c r="F12" s="1247">
        <v>7</v>
      </c>
      <c r="G12" s="903"/>
      <c r="H12" s="903"/>
    </row>
    <row r="13" spans="1:26" s="902" customFormat="1" ht="16.5" customHeight="1" x14ac:dyDescent="0.2">
      <c r="A13" s="381" t="s">
        <v>872</v>
      </c>
      <c r="B13" s="895"/>
      <c r="C13" s="895"/>
      <c r="D13" s="895"/>
      <c r="E13" s="895"/>
      <c r="F13" s="895"/>
      <c r="G13" s="903"/>
      <c r="H13" s="903"/>
    </row>
    <row r="14" spans="1:26" s="902" customFormat="1" ht="16.5" customHeight="1" x14ac:dyDescent="0.2">
      <c r="A14" s="884" t="s">
        <v>866</v>
      </c>
      <c r="B14" s="904"/>
      <c r="C14" s="904"/>
      <c r="D14" s="904"/>
      <c r="E14" s="904"/>
      <c r="F14" s="904"/>
      <c r="G14" s="903"/>
      <c r="H14" s="903"/>
    </row>
    <row r="15" spans="1:26" s="902" customFormat="1" ht="16.5" customHeight="1" x14ac:dyDescent="0.2">
      <c r="A15" s="381" t="s">
        <v>772</v>
      </c>
      <c r="B15" s="895"/>
      <c r="C15" s="895"/>
      <c r="D15" s="895"/>
      <c r="E15" s="895"/>
      <c r="F15" s="895"/>
      <c r="G15" s="903"/>
      <c r="H15" s="903"/>
    </row>
    <row r="16" spans="1:26" s="905" customFormat="1" ht="16.5" customHeight="1" x14ac:dyDescent="0.2">
      <c r="A16" s="408" t="s">
        <v>811</v>
      </c>
      <c r="B16" s="896"/>
      <c r="C16" s="896"/>
      <c r="D16" s="896"/>
      <c r="E16" s="896"/>
      <c r="F16" s="896"/>
      <c r="G16" s="906"/>
      <c r="H16" s="906"/>
    </row>
    <row r="17" spans="1:26" s="749" customFormat="1" ht="16.5" customHeight="1" thickBot="1" x14ac:dyDescent="0.25">
      <c r="A17" s="387" t="s">
        <v>812</v>
      </c>
      <c r="B17" s="897">
        <f>SUM(B12:B16)</f>
        <v>7</v>
      </c>
      <c r="C17" s="897">
        <f>SUM(C12:C16)</f>
        <v>7</v>
      </c>
      <c r="D17" s="897">
        <f>SUM(D12:D16)</f>
        <v>7</v>
      </c>
      <c r="E17" s="897">
        <f>SUM(E12:E16)</f>
        <v>8</v>
      </c>
      <c r="F17" s="897">
        <f>SUM(F12:F16)</f>
        <v>7</v>
      </c>
      <c r="G17" s="907"/>
      <c r="H17" s="907"/>
    </row>
    <row r="18" spans="1:26" s="857" customFormat="1" ht="9" customHeight="1" x14ac:dyDescent="0.2">
      <c r="G18" s="1169"/>
      <c r="H18" s="1169"/>
      <c r="I18" s="1169"/>
      <c r="J18" s="1169"/>
      <c r="K18" s="1169"/>
      <c r="L18" s="1169"/>
      <c r="M18" s="1169"/>
      <c r="N18" s="1169"/>
      <c r="O18" s="1169"/>
      <c r="P18" s="1169"/>
      <c r="Q18" s="1169"/>
      <c r="R18" s="1169"/>
      <c r="S18" s="1169"/>
      <c r="T18" s="1169"/>
      <c r="U18" s="1169"/>
      <c r="V18" s="1169"/>
      <c r="W18" s="1169"/>
      <c r="X18" s="1169"/>
      <c r="Y18" s="1169"/>
      <c r="Z18" s="1169"/>
    </row>
    <row r="19" spans="1:26" s="819" customFormat="1" ht="16.5" customHeight="1" x14ac:dyDescent="0.2">
      <c r="A19" s="898" t="s">
        <v>891</v>
      </c>
    </row>
    <row r="20" spans="1:26" s="683" customFormat="1" ht="16.5" customHeight="1" x14ac:dyDescent="0.2">
      <c r="A20" s="33" t="s">
        <v>868</v>
      </c>
      <c r="B20" s="33">
        <f>IF(B17&gt;0,B17,0)</f>
        <v>7</v>
      </c>
      <c r="C20" s="33">
        <f>IF(C17&gt;0,C17,0)</f>
        <v>7</v>
      </c>
      <c r="D20" s="33">
        <f>IF(D17&gt;0,D17,0)</f>
        <v>7</v>
      </c>
      <c r="E20" s="33">
        <f>IF(E17&gt;0,E17,0)</f>
        <v>8</v>
      </c>
      <c r="F20" s="33">
        <f>IF(F17&gt;0,F17,0)</f>
        <v>7</v>
      </c>
    </row>
    <row r="21" spans="1:26" s="683" customFormat="1" ht="16.5" customHeight="1" x14ac:dyDescent="0.2">
      <c r="A21" s="33" t="s">
        <v>870</v>
      </c>
      <c r="B21" s="33">
        <f>IF(B17&lt;0,-B17,0)</f>
        <v>0</v>
      </c>
      <c r="C21" s="33">
        <f>IF(C17&lt;0,-C17,0)</f>
        <v>0</v>
      </c>
      <c r="D21" s="33">
        <f>IF(D17&lt;0,-D17,0)</f>
        <v>0</v>
      </c>
      <c r="E21" s="33">
        <f>IF(E17&lt;0,-E17,0)</f>
        <v>0</v>
      </c>
      <c r="F21" s="33">
        <f>IF(F17&lt;0,-F17,0)</f>
        <v>0</v>
      </c>
    </row>
    <row r="22" spans="1:26" s="683" customFormat="1" ht="16.5" customHeight="1" x14ac:dyDescent="0.2">
      <c r="A22" s="33" t="s">
        <v>871</v>
      </c>
      <c r="B22" s="33">
        <f>IF(B17&lt;0,B17,0)</f>
        <v>0</v>
      </c>
      <c r="C22" s="33">
        <f>IF(C17&lt;0,C17,0)</f>
        <v>0</v>
      </c>
      <c r="D22" s="33">
        <f>IF(D17&lt;0,D17,0)</f>
        <v>0</v>
      </c>
      <c r="E22" s="33">
        <f>IF(E17&lt;0,E17,0)</f>
        <v>0</v>
      </c>
      <c r="F22" s="33">
        <f>IF(F17&lt;0,F17,0)</f>
        <v>0</v>
      </c>
    </row>
    <row r="23" spans="1:26" ht="16.5" customHeight="1" x14ac:dyDescent="0.2">
      <c r="A23" s="31" t="s">
        <v>869</v>
      </c>
      <c r="B23" s="31">
        <f>IF(B17&gt;0,-B17,0)</f>
        <v>-7</v>
      </c>
      <c r="C23" s="31">
        <f>IF(C17&gt;0,-C17,0)</f>
        <v>-7</v>
      </c>
      <c r="D23" s="31">
        <f>IF(D17&gt;0,-D17,0)</f>
        <v>-7</v>
      </c>
      <c r="E23" s="31">
        <f>IF(E17&gt;0,-E17,0)</f>
        <v>-8</v>
      </c>
      <c r="F23" s="31">
        <f>IF(F17&gt;0,-F17,0)</f>
        <v>-7</v>
      </c>
    </row>
    <row r="24" spans="1:26" s="687" customFormat="1" ht="16.5" customHeight="1" thickBot="1" x14ac:dyDescent="0.25">
      <c r="A24" s="890" t="s">
        <v>773</v>
      </c>
      <c r="B24" s="37">
        <f>SUM(B20:B23)</f>
        <v>0</v>
      </c>
      <c r="C24" s="37">
        <f>SUM(C20:C23)</f>
        <v>0</v>
      </c>
      <c r="D24" s="37">
        <f>SUM(D20:D23)</f>
        <v>0</v>
      </c>
      <c r="E24" s="37">
        <f>SUM(E20:E23)</f>
        <v>0</v>
      </c>
      <c r="F24" s="37">
        <f>SUM(F20:F23)</f>
        <v>0</v>
      </c>
    </row>
    <row r="25" spans="1:26" s="683" customFormat="1" ht="16.5" customHeight="1" x14ac:dyDescent="0.2"/>
  </sheetData>
  <phoneticPr fontId="137" type="noConversion"/>
  <pageMargins left="0.7" right="0.7" top="0.75" bottom="0.75" header="0.3" footer="0.3"/>
  <legacyDrawing r:id="rId1"/>
  <extLst>
    <ext xmlns:mx="http://schemas.microsoft.com/office/mac/excel/2008/main" uri="http://schemas.microsoft.com/office/mac/excel/2008/main">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2060"/>
  </sheetPr>
  <dimension ref="A1:Z72"/>
  <sheetViews>
    <sheetView workbookViewId="0">
      <selection activeCell="A70" sqref="A70"/>
    </sheetView>
  </sheetViews>
  <sheetFormatPr defaultColWidth="9.140625" defaultRowHeight="16.5" customHeight="1" x14ac:dyDescent="0.2"/>
  <cols>
    <col min="1" max="1" width="55.5703125" style="682" customWidth="1"/>
    <col min="2" max="256" width="8.5703125" style="682" customWidth="1"/>
    <col min="257" max="16384" width="9.140625" style="682"/>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1008"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857" customFormat="1" ht="16.5" customHeight="1" x14ac:dyDescent="0.2">
      <c r="G7" s="1169"/>
      <c r="H7" s="1169"/>
      <c r="I7" s="1169"/>
      <c r="J7" s="1169"/>
      <c r="K7" s="1169"/>
      <c r="L7" s="1169"/>
      <c r="M7" s="1169"/>
      <c r="N7" s="1169"/>
      <c r="O7" s="1169"/>
      <c r="P7" s="1169"/>
      <c r="Q7" s="1169"/>
      <c r="R7" s="1169"/>
      <c r="S7" s="1169"/>
      <c r="T7" s="1169"/>
      <c r="U7" s="1169"/>
      <c r="V7" s="1169"/>
      <c r="W7" s="1169"/>
      <c r="X7" s="1169"/>
      <c r="Y7" s="1169"/>
      <c r="Z7" s="1169"/>
    </row>
    <row r="8" spans="1:26" s="857" customFormat="1" ht="16.5" customHeight="1" x14ac:dyDescent="0.2">
      <c r="G8" s="1169"/>
      <c r="H8" s="1169"/>
      <c r="I8" s="1169"/>
      <c r="J8" s="1169"/>
      <c r="K8" s="1169"/>
      <c r="L8" s="1169"/>
      <c r="M8" s="1169"/>
      <c r="N8" s="1169"/>
      <c r="O8" s="1169"/>
      <c r="P8" s="1169"/>
      <c r="Q8" s="1169"/>
      <c r="R8" s="1169"/>
      <c r="S8" s="1169"/>
      <c r="T8" s="1169"/>
      <c r="U8" s="1169"/>
      <c r="V8" s="1169"/>
      <c r="W8" s="1169"/>
      <c r="X8" s="1169"/>
      <c r="Y8" s="1169"/>
      <c r="Z8" s="1169"/>
    </row>
    <row r="9" spans="1:26" s="710" customFormat="1" ht="16.5" customHeight="1" x14ac:dyDescent="0.2">
      <c r="A9" s="709" t="s">
        <v>779</v>
      </c>
    </row>
    <row r="10" spans="1:26" s="857" customFormat="1" ht="16.5" customHeight="1" x14ac:dyDescent="0.2">
      <c r="A10" s="246" t="s">
        <v>241</v>
      </c>
      <c r="B10" s="50" t="s">
        <v>493</v>
      </c>
      <c r="C10" s="50"/>
      <c r="D10" s="50"/>
      <c r="E10" s="50"/>
      <c r="F10" s="50"/>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857" customFormat="1" ht="16.5" customHeight="1" x14ac:dyDescent="0.2">
      <c r="B11" s="644">
        <f>'BS Analysis Adjustments'!B1</f>
        <v>2011</v>
      </c>
      <c r="C11" s="644">
        <f>'BS Analysis Adjustments'!L1</f>
        <v>2012</v>
      </c>
      <c r="D11" s="644">
        <f>'BS Analysis Adjustments'!V1</f>
        <v>2013</v>
      </c>
      <c r="E11" s="644">
        <f>'BS Analysis Adjustments'!AF1</f>
        <v>2014</v>
      </c>
      <c r="F11" s="644">
        <f>'BS Analysis Adjustments'!AP1</f>
        <v>2015</v>
      </c>
      <c r="G11" s="1169"/>
      <c r="H11" s="1169"/>
      <c r="I11" s="1169"/>
      <c r="J11" s="1169"/>
      <c r="K11" s="1169"/>
      <c r="L11" s="1169"/>
      <c r="M11" s="1169"/>
      <c r="N11" s="1169"/>
      <c r="O11" s="1169"/>
      <c r="P11" s="1169"/>
      <c r="Q11" s="1169"/>
      <c r="R11" s="1169"/>
      <c r="S11" s="1169"/>
      <c r="T11" s="1169"/>
      <c r="U11" s="1169"/>
      <c r="V11" s="1169"/>
      <c r="W11" s="1169"/>
      <c r="X11" s="1169"/>
      <c r="Y11" s="1169"/>
      <c r="Z11" s="1169"/>
    </row>
    <row r="12" spans="1:26" s="857" customFormat="1" ht="16.5" customHeight="1" x14ac:dyDescent="0.2">
      <c r="A12" s="883" t="s">
        <v>775</v>
      </c>
      <c r="B12" s="908"/>
      <c r="C12" s="909"/>
      <c r="G12" s="1169"/>
      <c r="H12" s="1169"/>
      <c r="I12" s="1169"/>
      <c r="J12" s="1169"/>
      <c r="K12" s="1169"/>
      <c r="L12" s="1169"/>
      <c r="M12" s="1169"/>
      <c r="N12" s="1169"/>
      <c r="O12" s="1169"/>
      <c r="P12" s="1169"/>
      <c r="Q12" s="1169"/>
      <c r="R12" s="1169"/>
      <c r="S12" s="1169"/>
      <c r="T12" s="1169"/>
      <c r="U12" s="1169"/>
      <c r="V12" s="1169"/>
      <c r="W12" s="1169"/>
      <c r="X12" s="1169"/>
      <c r="Y12" s="1169"/>
      <c r="Z12" s="1169"/>
    </row>
    <row r="13" spans="1:26" ht="16.5" customHeight="1" x14ac:dyDescent="0.2">
      <c r="A13" s="381" t="s">
        <v>863</v>
      </c>
      <c r="B13" s="92">
        <f>'IS Analysis Adjustments'!B26</f>
        <v>1119</v>
      </c>
      <c r="C13" s="92">
        <f>'IS Analysis Adjustments'!L26</f>
        <v>1185</v>
      </c>
      <c r="D13" s="92">
        <f>'IS Analysis Adjustments'!V26</f>
        <v>1189</v>
      </c>
      <c r="E13" s="92">
        <f>'IS Analysis Adjustments'!AF26</f>
        <v>1185</v>
      </c>
      <c r="F13" s="92">
        <f>'IS Analysis Adjustments'!AP26</f>
        <v>976</v>
      </c>
    </row>
    <row r="14" spans="1:26" s="857" customFormat="1" ht="16.5" customHeight="1" x14ac:dyDescent="0.2">
      <c r="A14" s="418" t="s">
        <v>864</v>
      </c>
      <c r="B14" s="892">
        <f>'IS Analysis Adjustments'!B27</f>
        <v>436</v>
      </c>
      <c r="C14" s="892">
        <f>'IS Analysis Adjustments'!L27</f>
        <v>450</v>
      </c>
      <c r="D14" s="892">
        <f>'IS Analysis Adjustments'!V27</f>
        <v>455</v>
      </c>
      <c r="E14" s="892">
        <f>'IS Analysis Adjustments'!AF27</f>
        <v>465</v>
      </c>
      <c r="F14" s="892">
        <f>'IS Analysis Adjustments'!AP27</f>
        <v>376</v>
      </c>
      <c r="G14" s="1169"/>
      <c r="H14" s="1169"/>
      <c r="I14" s="1169"/>
      <c r="J14" s="1169"/>
      <c r="K14" s="1169"/>
      <c r="L14" s="1169"/>
      <c r="M14" s="1169"/>
      <c r="N14" s="1169"/>
      <c r="O14" s="1169"/>
      <c r="P14" s="1169"/>
      <c r="Q14" s="1169"/>
      <c r="R14" s="1169"/>
      <c r="S14" s="1169"/>
      <c r="T14" s="1169"/>
      <c r="U14" s="1169"/>
      <c r="V14" s="1169"/>
      <c r="W14" s="1169"/>
      <c r="X14" s="1169"/>
      <c r="Y14" s="1169"/>
      <c r="Z14" s="1169"/>
    </row>
    <row r="15" spans="1:26" s="686" customFormat="1" ht="16.5" customHeight="1" x14ac:dyDescent="0.2">
      <c r="A15" s="888" t="s">
        <v>337</v>
      </c>
      <c r="B15" s="889">
        <f>B14/B13</f>
        <v>0.3896336014298481</v>
      </c>
      <c r="C15" s="889">
        <f>C14/C13</f>
        <v>0.379746835443038</v>
      </c>
      <c r="D15" s="889">
        <f>D14/D13</f>
        <v>0.3826745164003364</v>
      </c>
      <c r="E15" s="889">
        <f>E14/E13</f>
        <v>0.39240506329113922</v>
      </c>
      <c r="F15" s="889">
        <f>F14/F13</f>
        <v>0.38524590163934425</v>
      </c>
    </row>
    <row r="16" spans="1:26" s="857" customFormat="1" ht="9" customHeight="1" x14ac:dyDescent="0.2">
      <c r="G16" s="1169"/>
      <c r="H16" s="1169"/>
      <c r="I16" s="1169"/>
      <c r="J16" s="1169"/>
      <c r="K16" s="1169"/>
      <c r="L16" s="1169"/>
      <c r="M16" s="1169"/>
      <c r="N16" s="1169"/>
      <c r="O16" s="1169"/>
      <c r="P16" s="1169"/>
      <c r="Q16" s="1169"/>
      <c r="R16" s="1169"/>
      <c r="S16" s="1169"/>
      <c r="T16" s="1169"/>
      <c r="U16" s="1169"/>
      <c r="V16" s="1169"/>
      <c r="W16" s="1169"/>
      <c r="X16" s="1169"/>
      <c r="Y16" s="1169"/>
      <c r="Z16" s="1169"/>
    </row>
    <row r="17" spans="1:26" s="857" customFormat="1" ht="16.5" customHeight="1" x14ac:dyDescent="0.2">
      <c r="A17" s="735" t="s">
        <v>857</v>
      </c>
      <c r="G17" s="1169"/>
      <c r="H17" s="1169"/>
      <c r="I17" s="1169"/>
      <c r="J17" s="1169"/>
      <c r="K17" s="1169"/>
      <c r="L17" s="1169"/>
      <c r="M17" s="1169"/>
      <c r="N17" s="1169"/>
      <c r="O17" s="1169"/>
      <c r="P17" s="1169"/>
      <c r="Q17" s="1169"/>
      <c r="R17" s="1169"/>
      <c r="S17" s="1169"/>
      <c r="T17" s="1169"/>
      <c r="U17" s="1169"/>
      <c r="V17" s="1169"/>
      <c r="W17" s="1169"/>
      <c r="X17" s="1169"/>
      <c r="Y17" s="1169"/>
      <c r="Z17" s="1169"/>
    </row>
    <row r="18" spans="1:26" ht="16.5" customHeight="1" x14ac:dyDescent="0.2">
      <c r="A18" s="31" t="s">
        <v>855</v>
      </c>
      <c r="B18" s="32">
        <f>B20-B19</f>
        <v>1148</v>
      </c>
      <c r="C18" s="32">
        <f>C20-C19</f>
        <v>1360</v>
      </c>
      <c r="D18" s="32">
        <f>D20-D19</f>
        <v>1531</v>
      </c>
      <c r="E18" s="32">
        <f>E20-E19</f>
        <v>1733</v>
      </c>
      <c r="F18" s="32">
        <f>F20-F19</f>
        <v>1945</v>
      </c>
    </row>
    <row r="19" spans="1:26" s="857" customFormat="1" ht="16.5" customHeight="1" x14ac:dyDescent="0.2">
      <c r="A19" s="36" t="s">
        <v>856</v>
      </c>
      <c r="B19" s="759"/>
      <c r="C19" s="759"/>
      <c r="D19" s="759"/>
      <c r="E19" s="759"/>
      <c r="F19" s="759"/>
      <c r="G19" s="1169"/>
      <c r="H19" s="1169"/>
      <c r="I19" s="1169"/>
      <c r="J19" s="1169"/>
      <c r="K19" s="1169"/>
      <c r="L19" s="1169"/>
      <c r="M19" s="1169"/>
      <c r="N19" s="1169"/>
      <c r="O19" s="1169"/>
      <c r="P19" s="1169"/>
      <c r="Q19" s="1169"/>
      <c r="R19" s="1169"/>
      <c r="S19" s="1169"/>
      <c r="T19" s="1169"/>
      <c r="U19" s="1169"/>
      <c r="V19" s="1169"/>
      <c r="W19" s="1169"/>
      <c r="X19" s="1169"/>
      <c r="Y19" s="1169"/>
      <c r="Z19" s="1169"/>
    </row>
    <row r="20" spans="1:26" s="687" customFormat="1" ht="16.5" customHeight="1" thickBot="1" x14ac:dyDescent="0.25">
      <c r="A20" s="37" t="s">
        <v>777</v>
      </c>
      <c r="B20" s="37">
        <f>'BS Analysis Adjustments'!B11</f>
        <v>1148</v>
      </c>
      <c r="C20" s="37">
        <f>'BS Analysis Adjustments'!L11</f>
        <v>1360</v>
      </c>
      <c r="D20" s="37">
        <f>'BS Analysis Adjustments'!V11</f>
        <v>1531</v>
      </c>
      <c r="E20" s="37">
        <f>'BS Analysis Adjustments'!AF11</f>
        <v>1733</v>
      </c>
      <c r="F20" s="37">
        <f>'BS Analysis Adjustments'!AP11</f>
        <v>1945</v>
      </c>
    </row>
    <row r="21" spans="1:26" s="857" customFormat="1" ht="9" customHeight="1" x14ac:dyDescent="0.2">
      <c r="G21" s="1169"/>
      <c r="H21" s="1169"/>
      <c r="I21" s="1169"/>
      <c r="J21" s="1169"/>
      <c r="K21" s="1169"/>
      <c r="L21" s="1169"/>
      <c r="M21" s="1169"/>
      <c r="N21" s="1169"/>
      <c r="O21" s="1169"/>
      <c r="P21" s="1169"/>
      <c r="Q21" s="1169"/>
      <c r="R21" s="1169"/>
      <c r="S21" s="1169"/>
      <c r="T21" s="1169"/>
      <c r="U21" s="1169"/>
      <c r="V21" s="1169"/>
      <c r="W21" s="1169"/>
      <c r="X21" s="1169"/>
      <c r="Y21" s="1169"/>
      <c r="Z21" s="1169"/>
    </row>
    <row r="22" spans="1:26" s="819" customFormat="1" ht="16.5" customHeight="1" x14ac:dyDescent="0.2">
      <c r="A22" s="898" t="s">
        <v>890</v>
      </c>
    </row>
    <row r="23" spans="1:26" ht="16.5" customHeight="1" x14ac:dyDescent="0.2">
      <c r="A23" s="31" t="s">
        <v>774</v>
      </c>
      <c r="B23" s="31">
        <f>-B19</f>
        <v>0</v>
      </c>
      <c r="C23" s="31">
        <f>-C19</f>
        <v>0</v>
      </c>
      <c r="D23" s="31">
        <f>-D19</f>
        <v>0</v>
      </c>
      <c r="E23" s="31">
        <f>-E19</f>
        <v>0</v>
      </c>
      <c r="F23" s="31">
        <f>-F19</f>
        <v>0</v>
      </c>
    </row>
    <row r="24" spans="1:26" ht="16.5" customHeight="1" x14ac:dyDescent="0.2">
      <c r="A24" s="31" t="s">
        <v>860</v>
      </c>
      <c r="B24" s="31">
        <f>ROUND(B19*B15,0)</f>
        <v>0</v>
      </c>
      <c r="C24" s="31">
        <f>ROUND(C19*C15,0)</f>
        <v>0</v>
      </c>
      <c r="D24" s="31">
        <f>ROUND(D19*D15,0)</f>
        <v>0</v>
      </c>
      <c r="E24" s="31">
        <f>ROUND(E19*E15,0)</f>
        <v>0</v>
      </c>
      <c r="F24" s="31">
        <f>ROUND(F19*F15,0)</f>
        <v>0</v>
      </c>
    </row>
    <row r="25" spans="1:26" s="857" customFormat="1" ht="16.5" customHeight="1" x14ac:dyDescent="0.2">
      <c r="A25" s="184" t="s">
        <v>776</v>
      </c>
      <c r="B25" s="36">
        <f>-(B23+B24)</f>
        <v>0</v>
      </c>
      <c r="C25" s="36">
        <f>-(C23+C24)</f>
        <v>0</v>
      </c>
      <c r="D25" s="36">
        <f>-(D23+D24)</f>
        <v>0</v>
      </c>
      <c r="E25" s="36">
        <f>-(E23+E24)</f>
        <v>0</v>
      </c>
      <c r="F25" s="36">
        <f>-(F23+F24)</f>
        <v>0</v>
      </c>
      <c r="G25" s="1169"/>
      <c r="H25" s="1169"/>
      <c r="I25" s="1169"/>
      <c r="J25" s="1169"/>
      <c r="K25" s="1169"/>
      <c r="L25" s="1169"/>
      <c r="M25" s="1169"/>
      <c r="N25" s="1169"/>
      <c r="O25" s="1169"/>
      <c r="P25" s="1169"/>
      <c r="Q25" s="1169"/>
      <c r="R25" s="1169"/>
      <c r="S25" s="1169"/>
      <c r="T25" s="1169"/>
      <c r="U25" s="1169"/>
      <c r="V25" s="1169"/>
      <c r="W25" s="1169"/>
      <c r="X25" s="1169"/>
      <c r="Y25" s="1169"/>
      <c r="Z25" s="1169"/>
    </row>
    <row r="26" spans="1:26" s="687" customFormat="1" ht="16.5" customHeight="1" thickBot="1" x14ac:dyDescent="0.25">
      <c r="A26" s="890" t="s">
        <v>778</v>
      </c>
      <c r="B26" s="37">
        <f>SUM(B23:B25)</f>
        <v>0</v>
      </c>
      <c r="C26" s="37">
        <f>SUM(C23:C25)</f>
        <v>0</v>
      </c>
      <c r="D26" s="37">
        <f>SUM(D23:D25)</f>
        <v>0</v>
      </c>
      <c r="E26" s="37">
        <f>SUM(E23:E25)</f>
        <v>0</v>
      </c>
      <c r="F26" s="37">
        <f>SUM(F23:F25)</f>
        <v>0</v>
      </c>
    </row>
    <row r="27" spans="1:26" s="857" customFormat="1" ht="16.5" customHeight="1" x14ac:dyDescent="0.2">
      <c r="A27" s="803"/>
      <c r="G27" s="1169"/>
      <c r="H27" s="1169"/>
      <c r="I27" s="1169"/>
      <c r="J27" s="1169"/>
      <c r="K27" s="1169"/>
      <c r="L27" s="1169"/>
      <c r="M27" s="1169"/>
      <c r="N27" s="1169"/>
      <c r="O27" s="1169"/>
      <c r="P27" s="1169"/>
      <c r="Q27" s="1169"/>
      <c r="R27" s="1169"/>
      <c r="S27" s="1169"/>
      <c r="T27" s="1169"/>
      <c r="U27" s="1169"/>
      <c r="V27" s="1169"/>
      <c r="W27" s="1169"/>
      <c r="X27" s="1169"/>
      <c r="Y27" s="1169"/>
      <c r="Z27" s="1169"/>
    </row>
    <row r="28" spans="1:26" s="710" customFormat="1" ht="16.5" customHeight="1" x14ac:dyDescent="0.2">
      <c r="A28" s="891" t="s">
        <v>854</v>
      </c>
    </row>
    <row r="29" spans="1:26" s="857" customFormat="1" ht="16.5" customHeight="1" x14ac:dyDescent="0.2">
      <c r="A29" s="246" t="s">
        <v>241</v>
      </c>
      <c r="B29" s="50" t="s">
        <v>493</v>
      </c>
      <c r="C29" s="50"/>
      <c r="D29" s="50"/>
      <c r="E29" s="50"/>
      <c r="F29" s="50"/>
      <c r="G29" s="1169"/>
      <c r="H29" s="1169"/>
      <c r="I29" s="1169"/>
      <c r="J29" s="1169"/>
      <c r="K29" s="1169"/>
      <c r="L29" s="1169"/>
      <c r="M29" s="1169"/>
      <c r="N29" s="1169"/>
      <c r="O29" s="1169"/>
      <c r="P29" s="1169"/>
      <c r="Q29" s="1169"/>
      <c r="R29" s="1169"/>
      <c r="S29" s="1169"/>
      <c r="T29" s="1169"/>
      <c r="U29" s="1169"/>
      <c r="V29" s="1169"/>
      <c r="W29" s="1169"/>
      <c r="X29" s="1169"/>
      <c r="Y29" s="1169"/>
      <c r="Z29" s="1169"/>
    </row>
    <row r="30" spans="1:26" s="857" customFormat="1" ht="16.5" customHeight="1" x14ac:dyDescent="0.2">
      <c r="B30" s="644">
        <f>'BS Analysis Adjustments'!B1</f>
        <v>2011</v>
      </c>
      <c r="C30" s="644">
        <f>'BS Analysis Adjustments'!L1</f>
        <v>2012</v>
      </c>
      <c r="D30" s="644">
        <f>'BS Analysis Adjustments'!V1</f>
        <v>2013</v>
      </c>
      <c r="E30" s="644">
        <f>'BS Analysis Adjustments'!AF1</f>
        <v>2014</v>
      </c>
      <c r="F30" s="644">
        <f>'BS Analysis Adjustments'!AP1</f>
        <v>2015</v>
      </c>
      <c r="G30" s="1169"/>
      <c r="H30" s="1169"/>
      <c r="I30" s="1169"/>
      <c r="J30" s="1169"/>
      <c r="K30" s="1169"/>
      <c r="L30" s="1169"/>
      <c r="M30" s="1169"/>
      <c r="N30" s="1169"/>
      <c r="O30" s="1169"/>
      <c r="P30" s="1169"/>
      <c r="Q30" s="1169"/>
      <c r="R30" s="1169"/>
      <c r="S30" s="1169"/>
      <c r="T30" s="1169"/>
      <c r="U30" s="1169"/>
      <c r="V30" s="1169"/>
      <c r="W30" s="1169"/>
      <c r="X30" s="1169"/>
      <c r="Y30" s="1169"/>
      <c r="Z30" s="1169"/>
    </row>
    <row r="31" spans="1:26" s="857" customFormat="1" ht="16.5" customHeight="1" x14ac:dyDescent="0.2">
      <c r="A31" s="883" t="s">
        <v>775</v>
      </c>
      <c r="B31" s="908"/>
      <c r="C31" s="909"/>
      <c r="G31" s="1169"/>
      <c r="H31" s="1169"/>
      <c r="I31" s="1169"/>
      <c r="J31" s="1169"/>
      <c r="K31" s="1169"/>
      <c r="L31" s="1169"/>
      <c r="M31" s="1169"/>
      <c r="N31" s="1169"/>
      <c r="O31" s="1169"/>
      <c r="P31" s="1169"/>
      <c r="Q31" s="1169"/>
      <c r="R31" s="1169"/>
      <c r="S31" s="1169"/>
      <c r="T31" s="1169"/>
      <c r="U31" s="1169"/>
      <c r="V31" s="1169"/>
      <c r="W31" s="1169"/>
      <c r="X31" s="1169"/>
      <c r="Y31" s="1169"/>
      <c r="Z31" s="1169"/>
    </row>
    <row r="32" spans="1:26" ht="16.5" customHeight="1" x14ac:dyDescent="0.2">
      <c r="A32" s="381" t="s">
        <v>863</v>
      </c>
      <c r="B32" s="92">
        <f>'IS Analysis Adjustments'!B26</f>
        <v>1119</v>
      </c>
      <c r="C32" s="92">
        <f>'IS Analysis Adjustments'!L26</f>
        <v>1185</v>
      </c>
      <c r="D32" s="92">
        <f>'IS Analysis Adjustments'!V26</f>
        <v>1189</v>
      </c>
      <c r="E32" s="92">
        <f>'IS Analysis Adjustments'!AF26</f>
        <v>1185</v>
      </c>
      <c r="F32" s="92">
        <f>'IS Analysis Adjustments'!AP26</f>
        <v>976</v>
      </c>
    </row>
    <row r="33" spans="1:26" s="857" customFormat="1" ht="16.5" customHeight="1" x14ac:dyDescent="0.2">
      <c r="A33" s="418" t="s">
        <v>864</v>
      </c>
      <c r="B33" s="892">
        <f>'IS Analysis Adjustments'!B27</f>
        <v>436</v>
      </c>
      <c r="C33" s="892">
        <f>'IS Analysis Adjustments'!L27</f>
        <v>450</v>
      </c>
      <c r="D33" s="892">
        <f>'IS Analysis Adjustments'!V27</f>
        <v>455</v>
      </c>
      <c r="E33" s="892">
        <f>'IS Analysis Adjustments'!AF27</f>
        <v>465</v>
      </c>
      <c r="F33" s="892">
        <f>'IS Analysis Adjustments'!AP27</f>
        <v>376</v>
      </c>
      <c r="G33" s="1169"/>
      <c r="H33" s="1169"/>
      <c r="I33" s="1169"/>
      <c r="J33" s="1169"/>
      <c r="K33" s="1169"/>
      <c r="L33" s="1169"/>
      <c r="M33" s="1169"/>
      <c r="N33" s="1169"/>
      <c r="O33" s="1169"/>
      <c r="P33" s="1169"/>
      <c r="Q33" s="1169"/>
      <c r="R33" s="1169"/>
      <c r="S33" s="1169"/>
      <c r="T33" s="1169"/>
      <c r="U33" s="1169"/>
      <c r="V33" s="1169"/>
      <c r="W33" s="1169"/>
      <c r="X33" s="1169"/>
      <c r="Y33" s="1169"/>
      <c r="Z33" s="1169"/>
    </row>
    <row r="34" spans="1:26" s="686" customFormat="1" ht="16.5" customHeight="1" x14ac:dyDescent="0.2">
      <c r="A34" s="888" t="s">
        <v>337</v>
      </c>
      <c r="B34" s="889">
        <f>B33/B32</f>
        <v>0.3896336014298481</v>
      </c>
      <c r="C34" s="889">
        <f>C33/C32</f>
        <v>0.379746835443038</v>
      </c>
      <c r="D34" s="889">
        <f>D33/D32</f>
        <v>0.3826745164003364</v>
      </c>
      <c r="E34" s="889">
        <f>E33/E32</f>
        <v>0.39240506329113922</v>
      </c>
      <c r="F34" s="889">
        <f>F33/F32</f>
        <v>0.38524590163934425</v>
      </c>
    </row>
    <row r="35" spans="1:26" s="857" customFormat="1" ht="10.5" customHeight="1" x14ac:dyDescent="0.2">
      <c r="G35" s="1169"/>
      <c r="H35" s="1169"/>
      <c r="I35" s="1169"/>
      <c r="J35" s="1169"/>
      <c r="K35" s="1169"/>
      <c r="L35" s="1169"/>
      <c r="M35" s="1169"/>
      <c r="N35" s="1169"/>
      <c r="O35" s="1169"/>
      <c r="P35" s="1169"/>
      <c r="Q35" s="1169"/>
      <c r="R35" s="1169"/>
      <c r="S35" s="1169"/>
      <c r="T35" s="1169"/>
      <c r="U35" s="1169"/>
      <c r="V35" s="1169"/>
      <c r="W35" s="1169"/>
      <c r="X35" s="1169"/>
      <c r="Y35" s="1169"/>
      <c r="Z35" s="1169"/>
    </row>
    <row r="36" spans="1:26" s="857" customFormat="1" ht="16.5" customHeight="1" x14ac:dyDescent="0.2">
      <c r="A36" s="36" t="s">
        <v>332</v>
      </c>
      <c r="B36" s="892">
        <f>'IS Analysis Adjustments'!B5</f>
        <v>6592</v>
      </c>
      <c r="C36" s="892">
        <f>'IS Analysis Adjustments'!L5</f>
        <v>7432</v>
      </c>
      <c r="D36" s="892">
        <f>'IS Analysis Adjustments'!V5</f>
        <v>7737</v>
      </c>
      <c r="E36" s="892">
        <f>'IS Analysis Adjustments'!AF5</f>
        <v>8406</v>
      </c>
      <c r="F36" s="892">
        <f>'IS Analysis Adjustments'!AP5</f>
        <v>9168</v>
      </c>
      <c r="G36" s="1169"/>
      <c r="H36" s="1169"/>
      <c r="I36" s="1169"/>
      <c r="J36" s="1169"/>
      <c r="K36" s="1169"/>
      <c r="L36" s="1169"/>
      <c r="M36" s="1169"/>
      <c r="N36" s="1169"/>
      <c r="O36" s="1169"/>
      <c r="P36" s="1169"/>
      <c r="Q36" s="1169"/>
      <c r="R36" s="1169"/>
      <c r="S36" s="1169"/>
      <c r="T36" s="1169"/>
      <c r="U36" s="1169"/>
      <c r="V36" s="1169"/>
      <c r="W36" s="1169"/>
      <c r="X36" s="1169"/>
      <c r="Y36" s="1169"/>
      <c r="Z36" s="1169"/>
    </row>
    <row r="37" spans="1:26" ht="16.5" customHeight="1" x14ac:dyDescent="0.2">
      <c r="A37" s="112" t="s">
        <v>859</v>
      </c>
      <c r="B37" s="743"/>
      <c r="C37" s="743"/>
      <c r="D37" s="743"/>
      <c r="E37" s="743"/>
      <c r="F37" s="743"/>
    </row>
    <row r="38" spans="1:26" s="684" customFormat="1" ht="16.5" customHeight="1" x14ac:dyDescent="0.2">
      <c r="A38" s="113" t="s">
        <v>1016</v>
      </c>
      <c r="B38" s="1146"/>
      <c r="C38" s="1146"/>
      <c r="D38" s="1146"/>
      <c r="E38" s="1146"/>
      <c r="F38" s="1146"/>
      <c r="G38" s="1145" t="s">
        <v>1077</v>
      </c>
    </row>
    <row r="39" spans="1:26" s="686" customFormat="1" ht="16.5" customHeight="1" x14ac:dyDescent="0.2">
      <c r="A39" s="115" t="s">
        <v>950</v>
      </c>
      <c r="B39" s="115" t="e">
        <f>ROUND(B36*B37/B38,0)</f>
        <v>#DIV/0!</v>
      </c>
      <c r="C39" s="115" t="e">
        <f>ROUND(C36*C37/C38,0)</f>
        <v>#DIV/0!</v>
      </c>
      <c r="D39" s="115" t="e">
        <f>ROUND(D36*D37/D38,0)</f>
        <v>#DIV/0!</v>
      </c>
      <c r="E39" s="115" t="e">
        <f>ROUND(E36*E37/E38,0)</f>
        <v>#DIV/0!</v>
      </c>
      <c r="F39" s="115" t="e">
        <f>ROUND(F36*F37/F38,0)</f>
        <v>#DIV/0!</v>
      </c>
    </row>
    <row r="40" spans="1:26" s="687" customFormat="1" ht="16.5" customHeight="1" thickBot="1" x14ac:dyDescent="0.25">
      <c r="A40" s="37" t="s">
        <v>948</v>
      </c>
      <c r="B40" s="37" t="e">
        <f>B36+B39</f>
        <v>#DIV/0!</v>
      </c>
      <c r="C40" s="37" t="e">
        <f>C36+C39</f>
        <v>#DIV/0!</v>
      </c>
      <c r="D40" s="37" t="e">
        <f>D36+D39</f>
        <v>#DIV/0!</v>
      </c>
      <c r="E40" s="37" t="e">
        <f>E36+E39</f>
        <v>#DIV/0!</v>
      </c>
      <c r="F40" s="37" t="e">
        <f>F36+F39</f>
        <v>#DIV/0!</v>
      </c>
    </row>
    <row r="41" spans="1:26" s="857" customFormat="1" ht="9" customHeight="1" x14ac:dyDescent="0.2">
      <c r="G41" s="1169"/>
      <c r="H41" s="1169"/>
      <c r="I41" s="1169"/>
      <c r="J41" s="1169"/>
      <c r="K41" s="1169"/>
      <c r="L41" s="1169"/>
      <c r="M41" s="1169"/>
      <c r="N41" s="1169"/>
      <c r="O41" s="1169"/>
      <c r="P41" s="1169"/>
      <c r="Q41" s="1169"/>
      <c r="R41" s="1169"/>
      <c r="S41" s="1169"/>
      <c r="T41" s="1169"/>
      <c r="U41" s="1169"/>
      <c r="V41" s="1169"/>
      <c r="W41" s="1169"/>
      <c r="X41" s="1169"/>
      <c r="Y41" s="1169"/>
      <c r="Z41" s="1169"/>
    </row>
    <row r="42" spans="1:26" s="857" customFormat="1" ht="16.5" customHeight="1" x14ac:dyDescent="0.2">
      <c r="A42" s="184" t="s">
        <v>858</v>
      </c>
      <c r="G42" s="1169"/>
      <c r="H42" s="1169"/>
      <c r="I42" s="1169"/>
      <c r="J42" s="1169"/>
      <c r="K42" s="1169"/>
      <c r="L42" s="1169"/>
      <c r="M42" s="1169"/>
      <c r="N42" s="1169"/>
      <c r="O42" s="1169"/>
      <c r="P42" s="1169"/>
      <c r="Q42" s="1169"/>
      <c r="R42" s="1169"/>
      <c r="S42" s="1169"/>
      <c r="T42" s="1169"/>
      <c r="U42" s="1169"/>
      <c r="V42" s="1169"/>
      <c r="W42" s="1169"/>
      <c r="X42" s="1169"/>
      <c r="Y42" s="1169"/>
      <c r="Z42" s="1169"/>
    </row>
    <row r="43" spans="1:26" s="857" customFormat="1" ht="9" customHeight="1" x14ac:dyDescent="0.2">
      <c r="A43" s="719"/>
      <c r="G43" s="1169"/>
      <c r="H43" s="1169"/>
      <c r="I43" s="1169"/>
      <c r="J43" s="1169"/>
      <c r="K43" s="1169"/>
      <c r="L43" s="1169"/>
      <c r="M43" s="1169"/>
      <c r="N43" s="1169"/>
      <c r="O43" s="1169"/>
      <c r="P43" s="1169"/>
      <c r="Q43" s="1169"/>
      <c r="R43" s="1169"/>
      <c r="S43" s="1169"/>
      <c r="T43" s="1169"/>
      <c r="U43" s="1169"/>
      <c r="V43" s="1169"/>
      <c r="W43" s="1169"/>
      <c r="X43" s="1169"/>
      <c r="Y43" s="1169"/>
      <c r="Z43" s="1169"/>
    </row>
    <row r="44" spans="1:26" s="910" customFormat="1" ht="16.5" customHeight="1" x14ac:dyDescent="0.2">
      <c r="A44" s="898" t="s">
        <v>889</v>
      </c>
    </row>
    <row r="45" spans="1:26" ht="16.5" customHeight="1" x14ac:dyDescent="0.2">
      <c r="A45" s="31" t="s">
        <v>949</v>
      </c>
      <c r="B45" s="31" t="e">
        <f>B39</f>
        <v>#DIV/0!</v>
      </c>
      <c r="C45" s="31" t="e">
        <f>C39</f>
        <v>#DIV/0!</v>
      </c>
      <c r="D45" s="31" t="e">
        <f>D39</f>
        <v>#DIV/0!</v>
      </c>
      <c r="E45" s="31" t="e">
        <f>E39</f>
        <v>#DIV/0!</v>
      </c>
      <c r="F45" s="31" t="e">
        <f>F39</f>
        <v>#DIV/0!</v>
      </c>
    </row>
    <row r="46" spans="1:26" ht="16.5" customHeight="1" x14ac:dyDescent="0.2">
      <c r="A46" s="31" t="s">
        <v>861</v>
      </c>
      <c r="B46" s="31" t="e">
        <f>-(B45+B47)</f>
        <v>#DIV/0!</v>
      </c>
      <c r="C46" s="31" t="e">
        <f>-(C45+C47)</f>
        <v>#DIV/0!</v>
      </c>
      <c r="D46" s="31" t="e">
        <f>-(D45+D47)</f>
        <v>#DIV/0!</v>
      </c>
      <c r="E46" s="31" t="e">
        <f>-(E45+E47)</f>
        <v>#DIV/0!</v>
      </c>
      <c r="F46" s="31" t="e">
        <f>-(F45+F47)</f>
        <v>#DIV/0!</v>
      </c>
    </row>
    <row r="47" spans="1:26" s="857" customFormat="1" ht="16.5" customHeight="1" x14ac:dyDescent="0.2">
      <c r="A47" s="36" t="s">
        <v>862</v>
      </c>
      <c r="B47" s="36" t="e">
        <f>-ROUND(B39*B34,0)</f>
        <v>#DIV/0!</v>
      </c>
      <c r="C47" s="36" t="e">
        <f>-ROUND(C39*C34,0)</f>
        <v>#DIV/0!</v>
      </c>
      <c r="D47" s="36" t="e">
        <f>-ROUND(D39*D34,0)</f>
        <v>#DIV/0!</v>
      </c>
      <c r="E47" s="36" t="e">
        <f>-ROUND(E39*E34,0)</f>
        <v>#DIV/0!</v>
      </c>
      <c r="F47" s="36" t="e">
        <f>-ROUND(F39*F34,0)</f>
        <v>#DIV/0!</v>
      </c>
      <c r="G47" s="1169"/>
      <c r="H47" s="1169"/>
      <c r="I47" s="1169"/>
      <c r="J47" s="1169"/>
      <c r="K47" s="1169"/>
      <c r="L47" s="1169"/>
      <c r="M47" s="1169"/>
      <c r="N47" s="1169"/>
      <c r="O47" s="1169"/>
      <c r="P47" s="1169"/>
      <c r="Q47" s="1169"/>
      <c r="R47" s="1169"/>
      <c r="S47" s="1169"/>
      <c r="T47" s="1169"/>
      <c r="U47" s="1169"/>
      <c r="V47" s="1169"/>
      <c r="W47" s="1169"/>
      <c r="X47" s="1169"/>
      <c r="Y47" s="1169"/>
      <c r="Z47" s="1169"/>
    </row>
    <row r="48" spans="1:26" s="687" customFormat="1" ht="16.5" customHeight="1" thickBot="1" x14ac:dyDescent="0.25">
      <c r="A48" s="890" t="s">
        <v>778</v>
      </c>
      <c r="B48" s="37" t="e">
        <f>SUM(B45:B47)</f>
        <v>#DIV/0!</v>
      </c>
      <c r="C48" s="37" t="e">
        <f>SUM(C45:C47)</f>
        <v>#DIV/0!</v>
      </c>
      <c r="D48" s="37" t="e">
        <f>SUM(D45:D47)</f>
        <v>#DIV/0!</v>
      </c>
      <c r="E48" s="37" t="e">
        <f>SUM(E45:E47)</f>
        <v>#DIV/0!</v>
      </c>
      <c r="F48" s="37" t="e">
        <f>SUM(F45:F47)</f>
        <v>#DIV/0!</v>
      </c>
    </row>
    <row r="49" spans="1:26" s="857" customFormat="1" ht="16.5" customHeight="1" x14ac:dyDescent="0.2">
      <c r="G49" s="1169"/>
      <c r="H49" s="1169"/>
      <c r="I49" s="1169"/>
      <c r="J49" s="1169"/>
      <c r="K49" s="1169"/>
      <c r="L49" s="1169"/>
      <c r="M49" s="1169"/>
      <c r="N49" s="1169"/>
      <c r="O49" s="1169"/>
      <c r="P49" s="1169"/>
      <c r="Q49" s="1169"/>
      <c r="R49" s="1169"/>
      <c r="S49" s="1169"/>
      <c r="T49" s="1169"/>
      <c r="U49" s="1169"/>
      <c r="V49" s="1169"/>
      <c r="W49" s="1169"/>
      <c r="X49" s="1169"/>
      <c r="Y49" s="1169"/>
      <c r="Z49" s="1169"/>
    </row>
    <row r="50" spans="1:26" s="710" customFormat="1" ht="16.5" customHeight="1" x14ac:dyDescent="0.2">
      <c r="A50" s="891" t="s">
        <v>865</v>
      </c>
    </row>
    <row r="51" spans="1:26" s="857" customFormat="1" ht="16.5" customHeight="1" x14ac:dyDescent="0.2">
      <c r="A51" s="246" t="s">
        <v>241</v>
      </c>
      <c r="B51" s="50" t="s">
        <v>493</v>
      </c>
      <c r="C51" s="50"/>
      <c r="D51" s="50"/>
      <c r="E51" s="50"/>
      <c r="F51" s="50"/>
      <c r="G51" s="1169"/>
      <c r="H51" s="1169"/>
      <c r="I51" s="1169"/>
      <c r="J51" s="1169"/>
      <c r="K51" s="1169"/>
      <c r="L51" s="1169"/>
      <c r="M51" s="1169"/>
      <c r="N51" s="1169"/>
      <c r="O51" s="1169"/>
      <c r="P51" s="1169"/>
      <c r="Q51" s="1169"/>
      <c r="R51" s="1169"/>
      <c r="S51" s="1169"/>
      <c r="T51" s="1169"/>
      <c r="U51" s="1169"/>
      <c r="V51" s="1169"/>
      <c r="W51" s="1169"/>
      <c r="X51" s="1169"/>
      <c r="Y51" s="1169"/>
      <c r="Z51" s="1169"/>
    </row>
    <row r="52" spans="1:26" s="857" customFormat="1" ht="16.5" customHeight="1" x14ac:dyDescent="0.2">
      <c r="B52" s="644">
        <f>'BS Analysis Adjustments'!B1</f>
        <v>2011</v>
      </c>
      <c r="C52" s="644">
        <f>'BS Analysis Adjustments'!L1</f>
        <v>2012</v>
      </c>
      <c r="D52" s="644">
        <f>'BS Analysis Adjustments'!V1</f>
        <v>2013</v>
      </c>
      <c r="E52" s="644">
        <f>'BS Analysis Adjustments'!AF1</f>
        <v>2014</v>
      </c>
      <c r="F52" s="644">
        <f>'BS Analysis Adjustments'!AP1</f>
        <v>2015</v>
      </c>
      <c r="G52" s="1169"/>
      <c r="H52" s="1169"/>
      <c r="I52" s="1169"/>
      <c r="J52" s="1169"/>
      <c r="K52" s="1169"/>
      <c r="L52" s="1169"/>
      <c r="M52" s="1169"/>
      <c r="N52" s="1169"/>
      <c r="O52" s="1169"/>
      <c r="P52" s="1169"/>
      <c r="Q52" s="1169"/>
      <c r="R52" s="1169"/>
      <c r="S52" s="1169"/>
      <c r="T52" s="1169"/>
      <c r="U52" s="1169"/>
      <c r="V52" s="1169"/>
      <c r="W52" s="1169"/>
      <c r="X52" s="1169"/>
      <c r="Y52" s="1169"/>
      <c r="Z52" s="1169"/>
    </row>
    <row r="53" spans="1:26" s="857" customFormat="1" ht="16.5" customHeight="1" x14ac:dyDescent="0.2">
      <c r="A53" s="883" t="s">
        <v>775</v>
      </c>
      <c r="B53" s="908"/>
      <c r="C53" s="909"/>
      <c r="G53" s="1169"/>
      <c r="H53" s="1169"/>
      <c r="I53" s="1169"/>
      <c r="J53" s="1169"/>
      <c r="K53" s="1169"/>
      <c r="L53" s="1169"/>
      <c r="M53" s="1169"/>
      <c r="N53" s="1169"/>
      <c r="O53" s="1169"/>
      <c r="P53" s="1169"/>
      <c r="Q53" s="1169"/>
      <c r="R53" s="1169"/>
      <c r="S53" s="1169"/>
      <c r="T53" s="1169"/>
      <c r="U53" s="1169"/>
      <c r="V53" s="1169"/>
      <c r="W53" s="1169"/>
      <c r="X53" s="1169"/>
      <c r="Y53" s="1169"/>
      <c r="Z53" s="1169"/>
    </row>
    <row r="54" spans="1:26" ht="16.5" customHeight="1" x14ac:dyDescent="0.2">
      <c r="A54" s="381" t="s">
        <v>863</v>
      </c>
      <c r="B54" s="92">
        <f>'IS Analysis Adjustments'!B26</f>
        <v>1119</v>
      </c>
      <c r="C54" s="92">
        <f>'IS Analysis Adjustments'!L26</f>
        <v>1185</v>
      </c>
      <c r="D54" s="92">
        <f>'IS Analysis Adjustments'!V26</f>
        <v>1189</v>
      </c>
      <c r="E54" s="92">
        <f>'IS Analysis Adjustments'!AF26</f>
        <v>1185</v>
      </c>
      <c r="F54" s="92">
        <f>'IS Analysis Adjustments'!AP26</f>
        <v>976</v>
      </c>
    </row>
    <row r="55" spans="1:26" s="857" customFormat="1" ht="16.5" customHeight="1" x14ac:dyDescent="0.2">
      <c r="A55" s="418" t="s">
        <v>864</v>
      </c>
      <c r="B55" s="92">
        <f>'IS Analysis Adjustments'!B27</f>
        <v>436</v>
      </c>
      <c r="C55" s="92">
        <f>'IS Analysis Adjustments'!L27</f>
        <v>450</v>
      </c>
      <c r="D55" s="92">
        <f>'IS Analysis Adjustments'!V27</f>
        <v>455</v>
      </c>
      <c r="E55" s="92">
        <f>'IS Analysis Adjustments'!AF27</f>
        <v>465</v>
      </c>
      <c r="F55" s="92">
        <f>'IS Analysis Adjustments'!AP27</f>
        <v>376</v>
      </c>
      <c r="G55" s="1169"/>
      <c r="H55" s="1169"/>
      <c r="I55" s="1169"/>
      <c r="J55" s="1169"/>
      <c r="K55" s="1169"/>
      <c r="L55" s="1169"/>
      <c r="M55" s="1169"/>
      <c r="N55" s="1169"/>
      <c r="O55" s="1169"/>
      <c r="P55" s="1169"/>
      <c r="Q55" s="1169"/>
      <c r="R55" s="1169"/>
      <c r="S55" s="1169"/>
      <c r="T55" s="1169"/>
      <c r="U55" s="1169"/>
      <c r="V55" s="1169"/>
      <c r="W55" s="1169"/>
      <c r="X55" s="1169"/>
      <c r="Y55" s="1169"/>
      <c r="Z55" s="1169"/>
    </row>
    <row r="56" spans="1:26" s="686" customFormat="1" ht="16.5" customHeight="1" x14ac:dyDescent="0.2">
      <c r="A56" s="888" t="s">
        <v>337</v>
      </c>
      <c r="B56" s="889">
        <f>B55/B54</f>
        <v>0.3896336014298481</v>
      </c>
      <c r="C56" s="889">
        <f>C55/C54</f>
        <v>0.379746835443038</v>
      </c>
      <c r="D56" s="889">
        <f>D55/D54</f>
        <v>0.3826745164003364</v>
      </c>
      <c r="E56" s="889">
        <f>E55/E54</f>
        <v>0.39240506329113922</v>
      </c>
      <c r="F56" s="889">
        <f>F55/F54</f>
        <v>0.38524590163934425</v>
      </c>
    </row>
    <row r="57" spans="1:26" s="685" customFormat="1" ht="9" customHeight="1" x14ac:dyDescent="0.2"/>
    <row r="58" spans="1:26" s="726" customFormat="1" ht="16.5" customHeight="1" x14ac:dyDescent="0.2">
      <c r="A58" s="33" t="s">
        <v>332</v>
      </c>
      <c r="B58" s="892">
        <f>'IS Analysis Adjustments'!B5</f>
        <v>6592</v>
      </c>
      <c r="C58" s="892">
        <f>'IS Analysis Adjustments'!L5</f>
        <v>7432</v>
      </c>
      <c r="D58" s="892">
        <f>'IS Analysis Adjustments'!V5</f>
        <v>7737</v>
      </c>
      <c r="E58" s="892">
        <f>'IS Analysis Adjustments'!AF5</f>
        <v>8406</v>
      </c>
      <c r="F58" s="892">
        <f>'IS Analysis Adjustments'!AP5</f>
        <v>9168</v>
      </c>
    </row>
    <row r="59" spans="1:26" ht="16.5" customHeight="1" x14ac:dyDescent="0.2">
      <c r="A59" s="112" t="s">
        <v>859</v>
      </c>
      <c r="B59" s="1249">
        <v>7.9000000000000001E-2</v>
      </c>
      <c r="C59" s="1249">
        <v>0.13100000000000001</v>
      </c>
      <c r="D59" s="1249">
        <v>7.2999999999999995E-2</v>
      </c>
      <c r="E59" s="1249">
        <v>0.104</v>
      </c>
      <c r="F59" s="1249">
        <v>0.13600000000000001</v>
      </c>
    </row>
    <row r="60" spans="1:26" ht="16.5" customHeight="1" x14ac:dyDescent="0.2">
      <c r="A60" s="112" t="s">
        <v>771</v>
      </c>
      <c r="B60" s="146">
        <v>0.5</v>
      </c>
      <c r="C60" s="146">
        <v>0.5</v>
      </c>
      <c r="D60" s="146">
        <v>0.5</v>
      </c>
      <c r="E60" s="146">
        <v>0.5</v>
      </c>
      <c r="F60" s="146">
        <v>0.5</v>
      </c>
    </row>
    <row r="61" spans="1:26" s="685" customFormat="1" ht="16.5" customHeight="1" x14ac:dyDescent="0.2">
      <c r="A61" s="113" t="s">
        <v>1016</v>
      </c>
      <c r="B61" s="1250">
        <v>6.3</v>
      </c>
      <c r="C61" s="1250">
        <v>5.9</v>
      </c>
      <c r="D61" s="1250">
        <v>5.4</v>
      </c>
      <c r="E61" s="1250">
        <v>5.2</v>
      </c>
      <c r="F61" s="1250">
        <v>5</v>
      </c>
      <c r="G61" s="1145" t="s">
        <v>1077</v>
      </c>
    </row>
    <row r="62" spans="1:26" s="686" customFormat="1" ht="16.5" customHeight="1" x14ac:dyDescent="0.2">
      <c r="A62" s="115" t="s">
        <v>950</v>
      </c>
      <c r="B62" s="115">
        <f>ROUND((B58*B59*B60)/B61,0)</f>
        <v>41</v>
      </c>
      <c r="C62" s="115">
        <f>ROUND((C58*C59*C60)/C61,0)</f>
        <v>83</v>
      </c>
      <c r="D62" s="115">
        <f>ROUND((D58*D59*D60)/D61,0)</f>
        <v>52</v>
      </c>
      <c r="E62" s="115">
        <f>ROUND((E58*E59*E60)/E61,0)</f>
        <v>84</v>
      </c>
      <c r="F62" s="115">
        <f>ROUND((F58*F59*F60)/F61,0)</f>
        <v>125</v>
      </c>
    </row>
    <row r="63" spans="1:26" s="687" customFormat="1" ht="16.5" customHeight="1" thickBot="1" x14ac:dyDescent="0.25">
      <c r="A63" s="37" t="s">
        <v>948</v>
      </c>
      <c r="B63" s="37">
        <f>B58+B62</f>
        <v>6633</v>
      </c>
      <c r="C63" s="37">
        <f>C58+C62</f>
        <v>7515</v>
      </c>
      <c r="D63" s="37">
        <f>D58+D62</f>
        <v>7789</v>
      </c>
      <c r="E63" s="37">
        <f>E58+E62</f>
        <v>8490</v>
      </c>
      <c r="F63" s="37">
        <f>F58+F62</f>
        <v>9293</v>
      </c>
    </row>
    <row r="64" spans="1:26" s="857" customFormat="1" ht="9" customHeight="1" x14ac:dyDescent="0.2">
      <c r="G64" s="1169"/>
      <c r="H64" s="1169"/>
      <c r="I64" s="1169"/>
      <c r="J64" s="1169"/>
      <c r="K64" s="1169"/>
      <c r="L64" s="1169"/>
      <c r="M64" s="1169"/>
      <c r="N64" s="1169"/>
      <c r="O64" s="1169"/>
      <c r="P64" s="1169"/>
      <c r="Q64" s="1169"/>
      <c r="R64" s="1169"/>
      <c r="S64" s="1169"/>
      <c r="T64" s="1169"/>
      <c r="U64" s="1169"/>
      <c r="V64" s="1169"/>
      <c r="W64" s="1169"/>
      <c r="X64" s="1169"/>
      <c r="Y64" s="1169"/>
      <c r="Z64" s="1169"/>
    </row>
    <row r="65" spans="1:26" s="857" customFormat="1" ht="16.5" customHeight="1" x14ac:dyDescent="0.2">
      <c r="A65" s="184" t="s">
        <v>858</v>
      </c>
      <c r="G65" s="1169"/>
      <c r="H65" s="1169"/>
      <c r="I65" s="1169"/>
      <c r="J65" s="1169"/>
      <c r="K65" s="1169"/>
      <c r="L65" s="1169"/>
      <c r="M65" s="1169"/>
      <c r="N65" s="1169"/>
      <c r="O65" s="1169"/>
      <c r="P65" s="1169"/>
      <c r="Q65" s="1169"/>
      <c r="R65" s="1169"/>
      <c r="S65" s="1169"/>
      <c r="T65" s="1169"/>
      <c r="U65" s="1169"/>
      <c r="V65" s="1169"/>
      <c r="W65" s="1169"/>
      <c r="X65" s="1169"/>
      <c r="Y65" s="1169"/>
      <c r="Z65" s="1169"/>
    </row>
    <row r="66" spans="1:26" s="857" customFormat="1" ht="9" customHeight="1" x14ac:dyDescent="0.2">
      <c r="G66" s="1169"/>
      <c r="H66" s="1169"/>
      <c r="I66" s="1169"/>
      <c r="J66" s="1169"/>
      <c r="K66" s="1169"/>
      <c r="L66" s="1169"/>
      <c r="M66" s="1169"/>
      <c r="N66" s="1169"/>
      <c r="O66" s="1169"/>
      <c r="P66" s="1169"/>
      <c r="Q66" s="1169"/>
      <c r="R66" s="1169"/>
      <c r="S66" s="1169"/>
      <c r="T66" s="1169"/>
      <c r="U66" s="1169"/>
      <c r="V66" s="1169"/>
      <c r="W66" s="1169"/>
      <c r="X66" s="1169"/>
      <c r="Y66" s="1169"/>
      <c r="Z66" s="1169"/>
    </row>
    <row r="67" spans="1:26" s="910" customFormat="1" ht="16.5" customHeight="1" x14ac:dyDescent="0.2">
      <c r="A67" s="899" t="s">
        <v>889</v>
      </c>
    </row>
    <row r="68" spans="1:26" ht="16.5" customHeight="1" x14ac:dyDescent="0.2">
      <c r="A68" s="31" t="s">
        <v>949</v>
      </c>
      <c r="B68" s="31">
        <f>B62</f>
        <v>41</v>
      </c>
      <c r="C68" s="31">
        <f>C62</f>
        <v>83</v>
      </c>
      <c r="D68" s="31">
        <f>D62</f>
        <v>52</v>
      </c>
      <c r="E68" s="31">
        <f>E62</f>
        <v>84</v>
      </c>
      <c r="F68" s="31">
        <f>F62</f>
        <v>125</v>
      </c>
    </row>
    <row r="69" spans="1:26" ht="16.5" customHeight="1" x14ac:dyDescent="0.2">
      <c r="A69" s="31" t="s">
        <v>861</v>
      </c>
      <c r="B69" s="31">
        <f>-(B68+B70)</f>
        <v>-25</v>
      </c>
      <c r="C69" s="31">
        <f>-(C68+C70)</f>
        <v>-51</v>
      </c>
      <c r="D69" s="31">
        <f>-(D68+D70)</f>
        <v>-32</v>
      </c>
      <c r="E69" s="31">
        <f>-(E68+E70)</f>
        <v>-51</v>
      </c>
      <c r="F69" s="31">
        <f>-(F68+F70)</f>
        <v>-77</v>
      </c>
    </row>
    <row r="70" spans="1:26" s="685" customFormat="1" ht="16.5" customHeight="1" x14ac:dyDescent="0.2">
      <c r="A70" s="36" t="s">
        <v>2</v>
      </c>
      <c r="B70" s="36">
        <f>-ROUND(B62*B56,0)</f>
        <v>-16</v>
      </c>
      <c r="C70" s="36">
        <f>-ROUND(C62*C56,0)</f>
        <v>-32</v>
      </c>
      <c r="D70" s="36">
        <f>-ROUND(D62*D56,0)</f>
        <v>-20</v>
      </c>
      <c r="E70" s="36">
        <f>-ROUND(E62*E56,0)</f>
        <v>-33</v>
      </c>
      <c r="F70" s="36">
        <f>-ROUND(F62*F56,0)</f>
        <v>-48</v>
      </c>
    </row>
    <row r="71" spans="1:26" s="687" customFormat="1" ht="16.5" customHeight="1" thickBot="1" x14ac:dyDescent="0.25">
      <c r="A71" s="890" t="s">
        <v>778</v>
      </c>
      <c r="B71" s="37">
        <f>SUM(B68:B70)</f>
        <v>0</v>
      </c>
      <c r="C71" s="37">
        <f>SUM(C68:C70)</f>
        <v>0</v>
      </c>
      <c r="D71" s="37">
        <f>SUM(D68:D70)</f>
        <v>0</v>
      </c>
      <c r="E71" s="37">
        <f>SUM(E68:E70)</f>
        <v>0</v>
      </c>
      <c r="F71" s="37">
        <f>SUM(F68:F70)</f>
        <v>0</v>
      </c>
    </row>
    <row r="72" spans="1:26" s="683" customFormat="1" ht="16.5" customHeight="1" x14ac:dyDescent="0.2"/>
  </sheetData>
  <phoneticPr fontId="137" type="noConversion"/>
  <pageMargins left="0.7" right="0.7" top="0.75" bottom="0.75" header="0.3" footer="0.3"/>
  <legacyDrawing r:id="rId1"/>
  <extLst>
    <ext xmlns:mx="http://schemas.microsoft.com/office/mac/excel/2008/main" uri="http://schemas.microsoft.com/office/mac/excel/2008/main">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00"/>
  </sheetPr>
  <dimension ref="A1:Z114"/>
  <sheetViews>
    <sheetView topLeftCell="A22" workbookViewId="0">
      <selection activeCell="M18" sqref="M18"/>
    </sheetView>
  </sheetViews>
  <sheetFormatPr defaultColWidth="9.140625" defaultRowHeight="16.5" customHeight="1" x14ac:dyDescent="0.2"/>
  <cols>
    <col min="1" max="1" width="55.5703125" style="682" customWidth="1"/>
    <col min="2" max="256" width="8.5703125" style="682" customWidth="1"/>
    <col min="257" max="16384" width="9.140625" style="682"/>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857"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857" customFormat="1" ht="16.5" customHeight="1" x14ac:dyDescent="0.2">
      <c r="G7" s="1169"/>
      <c r="H7" s="1169"/>
      <c r="I7" s="1169"/>
      <c r="J7" s="1169"/>
      <c r="K7" s="1169"/>
      <c r="L7" s="1169"/>
      <c r="M7" s="1169"/>
      <c r="N7" s="1169"/>
      <c r="O7" s="1169"/>
      <c r="P7" s="1169"/>
      <c r="Q7" s="1169"/>
      <c r="R7" s="1169"/>
      <c r="S7" s="1169"/>
      <c r="T7" s="1169"/>
      <c r="U7" s="1169"/>
      <c r="V7" s="1169"/>
      <c r="W7" s="1169"/>
      <c r="X7" s="1169"/>
      <c r="Y7" s="1169"/>
      <c r="Z7" s="1169"/>
    </row>
    <row r="8" spans="1:26" s="1119" customFormat="1" ht="16.5" customHeight="1" x14ac:dyDescent="0.2">
      <c r="A8" s="891" t="s">
        <v>825</v>
      </c>
    </row>
    <row r="9" spans="1:26" s="857" customFormat="1" ht="9" customHeight="1" x14ac:dyDescent="0.2">
      <c r="G9" s="1169"/>
      <c r="H9" s="1169"/>
      <c r="I9" s="1169"/>
      <c r="J9" s="1169"/>
      <c r="K9" s="1169"/>
      <c r="L9" s="1169"/>
      <c r="M9" s="1169"/>
      <c r="N9" s="1169"/>
      <c r="O9" s="1169"/>
      <c r="P9" s="1169"/>
      <c r="Q9" s="1169"/>
      <c r="R9" s="1169"/>
      <c r="S9" s="1169"/>
      <c r="T9" s="1169"/>
      <c r="U9" s="1169"/>
      <c r="V9" s="1169"/>
      <c r="W9" s="1169"/>
      <c r="X9" s="1169"/>
      <c r="Y9" s="1169"/>
      <c r="Z9" s="1169"/>
    </row>
    <row r="10" spans="1:26" s="857" customFormat="1" ht="16.5" customHeight="1" x14ac:dyDescent="0.2">
      <c r="A10" s="246" t="s">
        <v>241</v>
      </c>
      <c r="B10" s="50" t="s">
        <v>493</v>
      </c>
      <c r="C10" s="50"/>
      <c r="D10" s="50"/>
      <c r="E10" s="50"/>
      <c r="F10" s="50"/>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857" customFormat="1" ht="16.5" customHeight="1" x14ac:dyDescent="0.2">
      <c r="B11" s="644">
        <f>'BS Analysis Adjustments'!B1</f>
        <v>2011</v>
      </c>
      <c r="C11" s="644">
        <f>'BS Analysis Adjustments'!L1</f>
        <v>2012</v>
      </c>
      <c r="D11" s="644">
        <f>'BS Analysis Adjustments'!V1</f>
        <v>2013</v>
      </c>
      <c r="E11" s="644">
        <f>'BS Analysis Adjustments'!AF1</f>
        <v>2014</v>
      </c>
      <c r="F11" s="644">
        <f>'BS Analysis Adjustments'!AP1</f>
        <v>2015</v>
      </c>
      <c r="G11" s="1169"/>
      <c r="H11" s="1169"/>
      <c r="I11" s="1169"/>
      <c r="J11" s="1169"/>
      <c r="K11" s="1169"/>
      <c r="L11" s="1169"/>
      <c r="M11" s="1169"/>
      <c r="N11" s="1169"/>
      <c r="O11" s="1169"/>
      <c r="P11" s="1169"/>
      <c r="Q11" s="1169"/>
      <c r="R11" s="1169"/>
      <c r="S11" s="1169"/>
      <c r="T11" s="1169"/>
      <c r="U11" s="1169"/>
      <c r="V11" s="1169"/>
      <c r="W11" s="1169"/>
      <c r="X11" s="1169"/>
      <c r="Y11" s="1169"/>
      <c r="Z11" s="1169"/>
    </row>
    <row r="12" spans="1:26" s="920" customFormat="1" ht="16.5" customHeight="1" x14ac:dyDescent="0.2">
      <c r="A12" s="921" t="s">
        <v>416</v>
      </c>
      <c r="G12" s="1193"/>
      <c r="H12" s="1193"/>
      <c r="I12" s="1193"/>
      <c r="J12" s="1193"/>
      <c r="K12" s="1193"/>
      <c r="L12" s="1193"/>
      <c r="M12" s="1193"/>
      <c r="N12" s="1193"/>
      <c r="O12" s="1193"/>
      <c r="P12" s="1193"/>
      <c r="Q12" s="1193"/>
      <c r="R12" s="1193"/>
      <c r="S12" s="1193"/>
      <c r="T12" s="1193"/>
      <c r="U12" s="1193"/>
      <c r="V12" s="1193"/>
      <c r="W12" s="1193"/>
      <c r="X12" s="1193"/>
      <c r="Y12" s="1193"/>
      <c r="Z12" s="1193"/>
    </row>
    <row r="13" spans="1:26" s="893" customFormat="1" ht="16.5" customHeight="1" x14ac:dyDescent="0.2">
      <c r="A13" s="1229" t="s">
        <v>1093</v>
      </c>
      <c r="G13" s="904"/>
      <c r="H13" s="904"/>
      <c r="I13" s="904"/>
      <c r="J13" s="904"/>
      <c r="K13" s="904"/>
      <c r="L13" s="904"/>
      <c r="M13" s="904"/>
      <c r="N13" s="904"/>
      <c r="O13" s="904"/>
      <c r="P13" s="904"/>
      <c r="Q13" s="904"/>
      <c r="R13" s="904"/>
      <c r="S13" s="904"/>
      <c r="T13" s="904"/>
      <c r="U13" s="904"/>
      <c r="V13" s="904"/>
      <c r="W13" s="904"/>
      <c r="X13" s="904"/>
      <c r="Y13" s="904"/>
      <c r="Z13" s="904"/>
    </row>
    <row r="14" spans="1:26" s="895" customFormat="1" ht="16.5" customHeight="1" x14ac:dyDescent="0.2">
      <c r="A14" s="1229" t="s">
        <v>1094</v>
      </c>
      <c r="B14" s="1247">
        <v>1273</v>
      </c>
      <c r="C14" s="1247">
        <v>1429</v>
      </c>
      <c r="D14" s="1247">
        <v>1450</v>
      </c>
      <c r="E14" s="1247">
        <v>1809</v>
      </c>
      <c r="F14" s="1247">
        <v>1691</v>
      </c>
      <c r="G14" s="1321" t="s">
        <v>3</v>
      </c>
      <c r="H14" s="1322"/>
      <c r="I14" s="1322"/>
      <c r="J14" s="1322"/>
      <c r="K14" s="1322"/>
      <c r="L14" s="1322"/>
      <c r="M14" s="1201"/>
      <c r="N14" s="1201"/>
      <c r="O14" s="1201"/>
      <c r="P14" s="1201"/>
      <c r="Q14" s="1201"/>
      <c r="R14" s="1201"/>
      <c r="S14" s="1201"/>
      <c r="T14" s="1201"/>
      <c r="U14" s="1201"/>
      <c r="V14" s="1201"/>
      <c r="W14" s="1201"/>
      <c r="X14" s="1201"/>
      <c r="Y14" s="1201"/>
      <c r="Z14" s="1201"/>
    </row>
    <row r="15" spans="1:26" s="895" customFormat="1" ht="16.5" customHeight="1" x14ac:dyDescent="0.2">
      <c r="A15" s="1229" t="s">
        <v>1095</v>
      </c>
      <c r="B15" s="1247">
        <v>141</v>
      </c>
      <c r="C15" s="1247">
        <v>191</v>
      </c>
      <c r="D15" s="1247">
        <v>217</v>
      </c>
      <c r="E15" s="1247">
        <v>162</v>
      </c>
      <c r="F15" s="1247">
        <v>305</v>
      </c>
      <c r="G15" s="1323"/>
      <c r="H15" s="1323"/>
      <c r="I15" s="1323"/>
      <c r="J15" s="1323"/>
      <c r="K15" s="1323"/>
      <c r="L15" s="1323"/>
      <c r="M15" s="1201"/>
      <c r="N15" s="1201"/>
      <c r="O15" s="1201"/>
      <c r="P15" s="1201"/>
      <c r="Q15" s="1201"/>
      <c r="R15" s="1201"/>
      <c r="S15" s="1201"/>
      <c r="T15" s="1201"/>
      <c r="U15" s="1201"/>
      <c r="V15" s="1201"/>
      <c r="W15" s="1201"/>
      <c r="X15" s="1201"/>
      <c r="Y15" s="1201"/>
      <c r="Z15" s="1201"/>
    </row>
    <row r="16" spans="1:26" s="895" customFormat="1" ht="16.5" customHeight="1" x14ac:dyDescent="0.2">
      <c r="A16" s="1229" t="s">
        <v>1096</v>
      </c>
      <c r="B16" s="1247"/>
      <c r="C16" s="1247">
        <v>0</v>
      </c>
      <c r="D16" s="1247"/>
      <c r="E16" s="1247"/>
      <c r="F16" s="1247">
        <v>0</v>
      </c>
      <c r="G16" s="1323"/>
      <c r="H16" s="1323"/>
      <c r="I16" s="1323"/>
      <c r="J16" s="1323"/>
      <c r="K16" s="1323"/>
      <c r="L16" s="1323"/>
      <c r="M16" s="1201"/>
      <c r="N16" s="1201"/>
      <c r="O16" s="1201"/>
      <c r="P16" s="1201"/>
      <c r="Q16" s="1201"/>
      <c r="R16" s="1201"/>
      <c r="S16" s="1201"/>
      <c r="T16" s="1201"/>
      <c r="U16" s="1201"/>
      <c r="V16" s="1201"/>
      <c r="W16" s="1201"/>
      <c r="X16" s="1201"/>
      <c r="Y16" s="1201"/>
      <c r="Z16" s="1201"/>
    </row>
    <row r="17" spans="1:26" s="895" customFormat="1" ht="16.5" customHeight="1" x14ac:dyDescent="0.2">
      <c r="A17" s="1229" t="s">
        <v>1097</v>
      </c>
      <c r="B17" s="1247">
        <v>28</v>
      </c>
      <c r="C17" s="1247">
        <v>120</v>
      </c>
      <c r="D17" s="1247">
        <v>358</v>
      </c>
      <c r="E17" s="1247">
        <v>120</v>
      </c>
      <c r="F17" s="1247">
        <v>13</v>
      </c>
      <c r="G17" s="1324"/>
      <c r="H17" s="1324"/>
      <c r="I17" s="1324"/>
      <c r="J17" s="1324"/>
      <c r="K17" s="1324"/>
      <c r="L17" s="1324"/>
      <c r="M17" s="1201"/>
      <c r="N17" s="1201"/>
      <c r="O17" s="1201"/>
      <c r="P17" s="1201"/>
      <c r="Q17" s="1201"/>
      <c r="R17" s="1201"/>
      <c r="S17" s="1201"/>
      <c r="T17" s="1201"/>
      <c r="U17" s="1201"/>
      <c r="V17" s="1201"/>
      <c r="W17" s="1201"/>
      <c r="X17" s="1201"/>
      <c r="Y17" s="1201"/>
      <c r="Z17" s="1201"/>
    </row>
    <row r="18" spans="1:26" s="895" customFormat="1" ht="16.5" customHeight="1" x14ac:dyDescent="0.2">
      <c r="A18" s="1229" t="s">
        <v>1098</v>
      </c>
      <c r="B18" s="1247"/>
      <c r="C18" s="1247"/>
      <c r="D18" s="1247"/>
      <c r="E18" s="1247"/>
      <c r="F18" s="1247">
        <v>0</v>
      </c>
      <c r="G18" s="1201"/>
      <c r="H18" s="1201"/>
      <c r="I18" s="1201"/>
      <c r="J18" s="1201"/>
      <c r="K18" s="1201"/>
      <c r="L18" s="1201"/>
      <c r="M18" s="1201"/>
      <c r="N18" s="1201"/>
      <c r="O18" s="1201"/>
      <c r="P18" s="1201"/>
      <c r="Q18" s="1201"/>
      <c r="R18" s="1201"/>
      <c r="S18" s="1201"/>
      <c r="T18" s="1201"/>
      <c r="U18" s="1201"/>
      <c r="V18" s="1201"/>
      <c r="W18" s="1201"/>
      <c r="X18" s="1201"/>
      <c r="Y18" s="1201"/>
      <c r="Z18" s="1201"/>
    </row>
    <row r="19" spans="1:26" s="896" customFormat="1" ht="16.5" customHeight="1" x14ac:dyDescent="0.2">
      <c r="A19" s="1230" t="s">
        <v>1099</v>
      </c>
      <c r="B19" s="1248">
        <v>1</v>
      </c>
      <c r="C19" s="1248">
        <v>161</v>
      </c>
      <c r="D19" s="1248">
        <v>100</v>
      </c>
      <c r="E19" s="1248">
        <v>1</v>
      </c>
      <c r="F19" s="1248">
        <v>1</v>
      </c>
      <c r="G19" s="1202"/>
      <c r="H19" s="1202"/>
      <c r="I19" s="1202"/>
      <c r="J19" s="1202"/>
      <c r="K19" s="1202"/>
      <c r="L19" s="1202"/>
      <c r="M19" s="1202"/>
      <c r="N19" s="1202"/>
      <c r="O19" s="1202"/>
      <c r="P19" s="1202"/>
      <c r="Q19" s="1202"/>
      <c r="R19" s="1202"/>
      <c r="S19" s="1202"/>
      <c r="T19" s="1202"/>
      <c r="U19" s="1202"/>
      <c r="V19" s="1202"/>
      <c r="W19" s="1202"/>
      <c r="X19" s="1202"/>
      <c r="Y19" s="1202"/>
      <c r="Z19" s="1202"/>
    </row>
    <row r="20" spans="1:26" s="1227" customFormat="1" ht="16.5" customHeight="1" thickBot="1" x14ac:dyDescent="0.25">
      <c r="A20" s="1231" t="s">
        <v>1092</v>
      </c>
      <c r="B20" s="1227">
        <f>SUM(B13:B19)</f>
        <v>1443</v>
      </c>
      <c r="C20" s="1227">
        <f t="shared" ref="C20:F20" si="0">SUM(C13:C19)</f>
        <v>1901</v>
      </c>
      <c r="D20" s="1227">
        <f t="shared" si="0"/>
        <v>2125</v>
      </c>
      <c r="E20" s="1227">
        <f t="shared" si="0"/>
        <v>2092</v>
      </c>
      <c r="F20" s="1227">
        <f t="shared" si="0"/>
        <v>2010</v>
      </c>
      <c r="G20" s="1228"/>
      <c r="H20" s="1228"/>
      <c r="I20" s="1228"/>
      <c r="J20" s="1228"/>
      <c r="K20" s="1228"/>
      <c r="L20" s="1228"/>
      <c r="M20" s="1228"/>
      <c r="N20" s="1228"/>
      <c r="O20" s="1228"/>
      <c r="P20" s="1228"/>
      <c r="Q20" s="1228"/>
      <c r="R20" s="1228"/>
      <c r="S20" s="1228"/>
      <c r="T20" s="1228"/>
      <c r="U20" s="1228"/>
      <c r="V20" s="1228"/>
      <c r="W20" s="1228"/>
      <c r="X20" s="1228"/>
      <c r="Y20" s="1228"/>
      <c r="Z20" s="1228"/>
    </row>
    <row r="21" spans="1:26" s="677" customFormat="1" ht="9" customHeight="1" x14ac:dyDescent="0.2"/>
    <row r="22" spans="1:26" s="910" customFormat="1" ht="16.5" customHeight="1" x14ac:dyDescent="0.2">
      <c r="A22" s="899" t="s">
        <v>892</v>
      </c>
    </row>
    <row r="23" spans="1:26" s="683" customFormat="1" ht="16.5" customHeight="1" x14ac:dyDescent="0.2">
      <c r="A23" s="1225" t="s">
        <v>814</v>
      </c>
      <c r="B23" s="871">
        <f>B14</f>
        <v>1273</v>
      </c>
      <c r="C23" s="871">
        <f t="shared" ref="C23:F23" si="1">C14</f>
        <v>1429</v>
      </c>
      <c r="D23" s="871">
        <f t="shared" si="1"/>
        <v>1450</v>
      </c>
      <c r="E23" s="871">
        <f t="shared" si="1"/>
        <v>1809</v>
      </c>
      <c r="F23" s="871">
        <f t="shared" si="1"/>
        <v>1691</v>
      </c>
    </row>
    <row r="24" spans="1:26" s="1224" customFormat="1" ht="16.5" customHeight="1" x14ac:dyDescent="0.2">
      <c r="A24" s="1226" t="s">
        <v>815</v>
      </c>
      <c r="B24" s="759">
        <f>B20-B14</f>
        <v>170</v>
      </c>
      <c r="C24" s="759">
        <f t="shared" ref="C24:F24" si="2">C20-C14</f>
        <v>472</v>
      </c>
      <c r="D24" s="759">
        <f t="shared" si="2"/>
        <v>675</v>
      </c>
      <c r="E24" s="759">
        <f t="shared" si="2"/>
        <v>283</v>
      </c>
      <c r="F24" s="759">
        <f t="shared" si="2"/>
        <v>319</v>
      </c>
    </row>
    <row r="25" spans="1:26" s="1085" customFormat="1" ht="16.5" customHeight="1" x14ac:dyDescent="0.2">
      <c r="A25" s="36" t="s">
        <v>895</v>
      </c>
      <c r="B25" s="759">
        <f>-B23</f>
        <v>-1273</v>
      </c>
      <c r="C25" s="759">
        <f t="shared" ref="C25:F25" si="3">-C23</f>
        <v>-1429</v>
      </c>
      <c r="D25" s="759">
        <f t="shared" si="3"/>
        <v>-1450</v>
      </c>
      <c r="E25" s="759">
        <f t="shared" si="3"/>
        <v>-1809</v>
      </c>
      <c r="F25" s="759">
        <f t="shared" si="3"/>
        <v>-1691</v>
      </c>
      <c r="G25" s="1169"/>
      <c r="H25" s="1169"/>
      <c r="I25" s="1169"/>
      <c r="J25" s="1169"/>
      <c r="K25" s="1169"/>
      <c r="L25" s="1169"/>
      <c r="M25" s="1169"/>
      <c r="N25" s="1169"/>
      <c r="O25" s="1169"/>
      <c r="P25" s="1169"/>
      <c r="Q25" s="1169"/>
      <c r="R25" s="1169"/>
      <c r="S25" s="1169"/>
      <c r="T25" s="1169"/>
      <c r="U25" s="1169"/>
      <c r="V25" s="1169"/>
      <c r="W25" s="1169"/>
      <c r="X25" s="1169"/>
      <c r="Y25" s="1169"/>
      <c r="Z25" s="1169"/>
    </row>
    <row r="26" spans="1:26" s="685" customFormat="1" ht="16.5" customHeight="1" x14ac:dyDescent="0.2">
      <c r="A26" s="39" t="s">
        <v>816</v>
      </c>
      <c r="B26" s="739">
        <f>-B24</f>
        <v>-170</v>
      </c>
      <c r="C26" s="739">
        <f t="shared" ref="C26:F26" si="4">-C24</f>
        <v>-472</v>
      </c>
      <c r="D26" s="739">
        <f t="shared" si="4"/>
        <v>-675</v>
      </c>
      <c r="E26" s="739">
        <f t="shared" si="4"/>
        <v>-283</v>
      </c>
      <c r="F26" s="739">
        <f t="shared" si="4"/>
        <v>-319</v>
      </c>
    </row>
    <row r="27" spans="1:26" s="687" customFormat="1" ht="16.5" customHeight="1" thickBot="1" x14ac:dyDescent="0.25">
      <c r="A27" s="890" t="s">
        <v>773</v>
      </c>
      <c r="B27" s="37">
        <f>SUM(B23:B26)</f>
        <v>0</v>
      </c>
      <c r="C27" s="37">
        <f>SUM(C23:C26)</f>
        <v>0</v>
      </c>
      <c r="D27" s="37">
        <f>SUM(D23:D26)</f>
        <v>0</v>
      </c>
      <c r="E27" s="37">
        <f>SUM(E23:E26)</f>
        <v>0</v>
      </c>
      <c r="F27" s="37">
        <f>SUM(F23:F26)</f>
        <v>0</v>
      </c>
    </row>
    <row r="28" spans="1:26" s="857" customFormat="1" ht="16.5" customHeight="1" x14ac:dyDescent="0.2">
      <c r="G28" s="1169"/>
      <c r="H28" s="1169"/>
      <c r="I28" s="1169"/>
      <c r="J28" s="1169"/>
      <c r="K28" s="1169"/>
      <c r="L28" s="1169"/>
      <c r="M28" s="1169"/>
      <c r="N28" s="1169"/>
      <c r="O28" s="1169"/>
      <c r="P28" s="1169"/>
      <c r="Q28" s="1169"/>
      <c r="R28" s="1169"/>
      <c r="S28" s="1169"/>
      <c r="T28" s="1169"/>
      <c r="U28" s="1169"/>
      <c r="V28" s="1169"/>
      <c r="W28" s="1169"/>
      <c r="X28" s="1169"/>
      <c r="Y28" s="1169"/>
      <c r="Z28" s="1169"/>
    </row>
    <row r="29" spans="1:26" s="857" customFormat="1" ht="16.5" customHeight="1" x14ac:dyDescent="0.2">
      <c r="G29" s="1169"/>
      <c r="H29" s="1169"/>
      <c r="I29" s="1169"/>
      <c r="J29" s="1169"/>
      <c r="K29" s="1169"/>
      <c r="L29" s="1169"/>
      <c r="M29" s="1169"/>
      <c r="N29" s="1169"/>
      <c r="O29" s="1169"/>
      <c r="P29" s="1169"/>
      <c r="Q29" s="1169"/>
      <c r="R29" s="1169"/>
      <c r="S29" s="1169"/>
      <c r="T29" s="1169"/>
      <c r="U29" s="1169"/>
      <c r="V29" s="1169"/>
      <c r="W29" s="1169"/>
      <c r="X29" s="1169"/>
      <c r="Y29" s="1169"/>
      <c r="Z29" s="1169"/>
    </row>
    <row r="30" spans="1:26" s="1119" customFormat="1" ht="16.5" customHeight="1" x14ac:dyDescent="0.2">
      <c r="A30" s="891" t="s">
        <v>893</v>
      </c>
    </row>
    <row r="31" spans="1:26" s="857" customFormat="1" ht="9" customHeight="1" x14ac:dyDescent="0.2">
      <c r="G31" s="1169"/>
      <c r="H31" s="1169"/>
      <c r="I31" s="1169"/>
      <c r="J31" s="1169"/>
      <c r="K31" s="1169"/>
      <c r="L31" s="1169"/>
      <c r="M31" s="1169"/>
      <c r="N31" s="1169"/>
      <c r="O31" s="1169"/>
      <c r="P31" s="1169"/>
      <c r="Q31" s="1169"/>
      <c r="R31" s="1169"/>
      <c r="S31" s="1169"/>
      <c r="T31" s="1169"/>
      <c r="U31" s="1169"/>
      <c r="V31" s="1169"/>
      <c r="W31" s="1169"/>
      <c r="X31" s="1169"/>
      <c r="Y31" s="1169"/>
      <c r="Z31" s="1169"/>
    </row>
    <row r="32" spans="1:26" s="857" customFormat="1" ht="16.5" customHeight="1" x14ac:dyDescent="0.2">
      <c r="A32" s="246" t="s">
        <v>241</v>
      </c>
      <c r="B32" s="50" t="s">
        <v>493</v>
      </c>
      <c r="C32" s="50"/>
      <c r="D32" s="50"/>
      <c r="E32" s="50"/>
      <c r="F32" s="50"/>
      <c r="G32" s="1169"/>
      <c r="H32" s="1169"/>
      <c r="I32" s="1169"/>
      <c r="J32" s="1169"/>
      <c r="K32" s="1169"/>
      <c r="L32" s="1169"/>
      <c r="M32" s="1169"/>
      <c r="N32" s="1169"/>
      <c r="O32" s="1169"/>
      <c r="P32" s="1169"/>
      <c r="Q32" s="1169"/>
      <c r="R32" s="1169"/>
      <c r="S32" s="1169"/>
      <c r="T32" s="1169"/>
      <c r="U32" s="1169"/>
      <c r="V32" s="1169"/>
      <c r="W32" s="1169"/>
      <c r="X32" s="1169"/>
      <c r="Y32" s="1169"/>
      <c r="Z32" s="1169"/>
    </row>
    <row r="33" spans="1:26" s="857" customFormat="1" ht="16.5" customHeight="1" x14ac:dyDescent="0.2">
      <c r="B33" s="644">
        <f>'BS Analysis Adjustments'!B1</f>
        <v>2011</v>
      </c>
      <c r="C33" s="644">
        <f>'BS Analysis Adjustments'!L1</f>
        <v>2012</v>
      </c>
      <c r="D33" s="644">
        <f>'BS Analysis Adjustments'!V1</f>
        <v>2013</v>
      </c>
      <c r="E33" s="644">
        <f>'BS Analysis Adjustments'!AF1</f>
        <v>2014</v>
      </c>
      <c r="F33" s="644">
        <f>'BS Analysis Adjustments'!AP1</f>
        <v>2015</v>
      </c>
      <c r="G33" s="1169"/>
      <c r="H33" s="1169"/>
      <c r="I33" s="1169"/>
      <c r="J33" s="1169"/>
      <c r="K33" s="1169"/>
      <c r="L33" s="1169"/>
      <c r="M33" s="1169"/>
      <c r="N33" s="1169"/>
      <c r="O33" s="1169"/>
      <c r="P33" s="1169"/>
      <c r="Q33" s="1169"/>
      <c r="R33" s="1169"/>
      <c r="S33" s="1169"/>
      <c r="T33" s="1169"/>
      <c r="U33" s="1169"/>
      <c r="V33" s="1169"/>
      <c r="W33" s="1169"/>
      <c r="X33" s="1169"/>
      <c r="Y33" s="1169"/>
      <c r="Z33" s="1169"/>
    </row>
    <row r="34" spans="1:26" s="920" customFormat="1" ht="16.5" customHeight="1" x14ac:dyDescent="0.2">
      <c r="A34" s="921" t="s">
        <v>416</v>
      </c>
      <c r="G34" s="1193"/>
      <c r="H34" s="1193"/>
      <c r="I34" s="1193"/>
      <c r="J34" s="1193"/>
      <c r="K34" s="1193"/>
      <c r="L34" s="1193"/>
      <c r="M34" s="1193"/>
      <c r="N34" s="1193"/>
      <c r="O34" s="1193"/>
      <c r="P34" s="1193"/>
      <c r="Q34" s="1193"/>
      <c r="R34" s="1193"/>
      <c r="S34" s="1193"/>
      <c r="T34" s="1193"/>
      <c r="U34" s="1193"/>
      <c r="V34" s="1193"/>
      <c r="W34" s="1193"/>
      <c r="X34" s="1193"/>
      <c r="Y34" s="1193"/>
      <c r="Z34" s="1193"/>
    </row>
    <row r="35" spans="1:26" s="895" customFormat="1" ht="16.5" customHeight="1" x14ac:dyDescent="0.2">
      <c r="A35" s="919"/>
      <c r="G35" s="1201"/>
      <c r="H35" s="1201"/>
      <c r="I35" s="1201"/>
      <c r="J35" s="1201"/>
      <c r="K35" s="1201"/>
      <c r="L35" s="1201"/>
      <c r="M35" s="1201"/>
      <c r="N35" s="1201"/>
      <c r="O35" s="1201"/>
      <c r="P35" s="1201"/>
      <c r="Q35" s="1201"/>
      <c r="R35" s="1201"/>
      <c r="S35" s="1201"/>
      <c r="T35" s="1201"/>
      <c r="U35" s="1201"/>
      <c r="V35" s="1201"/>
      <c r="W35" s="1201"/>
      <c r="X35" s="1201"/>
      <c r="Y35" s="1201"/>
      <c r="Z35" s="1201"/>
    </row>
    <row r="36" spans="1:26" s="895" customFormat="1" ht="16.5" customHeight="1" x14ac:dyDescent="0.2">
      <c r="A36" s="919"/>
      <c r="G36" s="1201"/>
      <c r="H36" s="1201"/>
      <c r="I36" s="1201"/>
      <c r="J36" s="1201"/>
      <c r="K36" s="1201"/>
      <c r="L36" s="1201"/>
      <c r="M36" s="1201"/>
      <c r="N36" s="1201"/>
      <c r="O36" s="1201"/>
      <c r="P36" s="1201"/>
      <c r="Q36" s="1201"/>
      <c r="R36" s="1201"/>
      <c r="S36" s="1201"/>
      <c r="T36" s="1201"/>
      <c r="U36" s="1201"/>
      <c r="V36" s="1201"/>
      <c r="W36" s="1201"/>
      <c r="X36" s="1201"/>
      <c r="Y36" s="1201"/>
      <c r="Z36" s="1201"/>
    </row>
    <row r="37" spans="1:26" s="895" customFormat="1" ht="16.5" customHeight="1" x14ac:dyDescent="0.2">
      <c r="A37" s="919"/>
      <c r="G37" s="1201"/>
      <c r="H37" s="1201"/>
      <c r="I37" s="1201"/>
      <c r="J37" s="1201"/>
      <c r="K37" s="1201"/>
      <c r="L37" s="1201"/>
      <c r="M37" s="1201"/>
      <c r="N37" s="1201"/>
      <c r="O37" s="1201"/>
      <c r="P37" s="1201"/>
      <c r="Q37" s="1201"/>
      <c r="R37" s="1201"/>
      <c r="S37" s="1201"/>
      <c r="T37" s="1201"/>
      <c r="U37" s="1201"/>
      <c r="V37" s="1201"/>
      <c r="W37" s="1201"/>
      <c r="X37" s="1201"/>
      <c r="Y37" s="1201"/>
      <c r="Z37" s="1201"/>
    </row>
    <row r="38" spans="1:26" s="895" customFormat="1" ht="16.5" customHeight="1" x14ac:dyDescent="0.2">
      <c r="A38" s="919"/>
      <c r="G38" s="1201"/>
      <c r="H38" s="1201"/>
      <c r="I38" s="1201"/>
      <c r="J38" s="1201"/>
      <c r="K38" s="1201"/>
      <c r="L38" s="1201"/>
      <c r="M38" s="1201"/>
      <c r="N38" s="1201"/>
      <c r="O38" s="1201"/>
      <c r="P38" s="1201"/>
      <c r="Q38" s="1201"/>
      <c r="R38" s="1201"/>
      <c r="S38" s="1201"/>
      <c r="T38" s="1201"/>
      <c r="U38" s="1201"/>
      <c r="V38" s="1201"/>
      <c r="W38" s="1201"/>
      <c r="X38" s="1201"/>
      <c r="Y38" s="1201"/>
      <c r="Z38" s="1201"/>
    </row>
    <row r="39" spans="1:26" s="895" customFormat="1" ht="16.5" customHeight="1" x14ac:dyDescent="0.2">
      <c r="A39" s="919"/>
      <c r="G39" s="1201"/>
      <c r="H39" s="1201"/>
      <c r="I39" s="1201"/>
      <c r="J39" s="1201"/>
      <c r="K39" s="1201"/>
      <c r="L39" s="1201"/>
      <c r="M39" s="1201"/>
      <c r="N39" s="1201"/>
      <c r="O39" s="1201"/>
      <c r="P39" s="1201"/>
      <c r="Q39" s="1201"/>
      <c r="R39" s="1201"/>
      <c r="S39" s="1201"/>
      <c r="T39" s="1201"/>
      <c r="U39" s="1201"/>
      <c r="V39" s="1201"/>
      <c r="W39" s="1201"/>
      <c r="X39" s="1201"/>
      <c r="Y39" s="1201"/>
      <c r="Z39" s="1201"/>
    </row>
    <row r="40" spans="1:26" s="895" customFormat="1" ht="16.5" customHeight="1" x14ac:dyDescent="0.2">
      <c r="A40" s="919"/>
      <c r="G40" s="1201"/>
      <c r="H40" s="1201"/>
      <c r="I40" s="1201"/>
      <c r="J40" s="1201"/>
      <c r="K40" s="1201"/>
      <c r="L40" s="1201"/>
      <c r="M40" s="1201"/>
      <c r="N40" s="1201"/>
      <c r="O40" s="1201"/>
      <c r="P40" s="1201"/>
      <c r="Q40" s="1201"/>
      <c r="R40" s="1201"/>
      <c r="S40" s="1201"/>
      <c r="T40" s="1201"/>
      <c r="U40" s="1201"/>
      <c r="V40" s="1201"/>
      <c r="W40" s="1201"/>
      <c r="X40" s="1201"/>
      <c r="Y40" s="1201"/>
      <c r="Z40" s="1201"/>
    </row>
    <row r="41" spans="1:26" s="895" customFormat="1" ht="16.5" customHeight="1" x14ac:dyDescent="0.2">
      <c r="A41" s="919"/>
      <c r="G41" s="1201"/>
      <c r="H41" s="1201"/>
      <c r="I41" s="1201"/>
      <c r="J41" s="1201"/>
      <c r="K41" s="1201"/>
      <c r="L41" s="1201"/>
      <c r="M41" s="1201"/>
      <c r="N41" s="1201"/>
      <c r="O41" s="1201"/>
      <c r="P41" s="1201"/>
      <c r="Q41" s="1201"/>
      <c r="R41" s="1201"/>
      <c r="S41" s="1201"/>
      <c r="T41" s="1201"/>
      <c r="U41" s="1201"/>
      <c r="V41" s="1201"/>
      <c r="W41" s="1201"/>
      <c r="X41" s="1201"/>
      <c r="Y41" s="1201"/>
      <c r="Z41" s="1201"/>
    </row>
    <row r="42" spans="1:26" s="895" customFormat="1" ht="16.5" customHeight="1" x14ac:dyDescent="0.2">
      <c r="A42" s="919"/>
      <c r="G42" s="1201"/>
      <c r="H42" s="1201"/>
      <c r="I42" s="1201"/>
      <c r="J42" s="1201"/>
      <c r="K42" s="1201"/>
      <c r="L42" s="1201"/>
      <c r="M42" s="1201"/>
      <c r="N42" s="1201"/>
      <c r="O42" s="1201"/>
      <c r="P42" s="1201"/>
      <c r="Q42" s="1201"/>
      <c r="R42" s="1201"/>
      <c r="S42" s="1201"/>
      <c r="T42" s="1201"/>
      <c r="U42" s="1201"/>
      <c r="V42" s="1201"/>
      <c r="W42" s="1201"/>
      <c r="X42" s="1201"/>
      <c r="Y42" s="1201"/>
      <c r="Z42" s="1201"/>
    </row>
    <row r="43" spans="1:26" s="895" customFormat="1" ht="16.5" customHeight="1" x14ac:dyDescent="0.2">
      <c r="A43" s="919"/>
      <c r="G43" s="1201"/>
      <c r="H43" s="1201"/>
      <c r="I43" s="1201"/>
      <c r="J43" s="1201"/>
      <c r="K43" s="1201"/>
      <c r="L43" s="1201"/>
      <c r="M43" s="1201"/>
      <c r="N43" s="1201"/>
      <c r="O43" s="1201"/>
      <c r="P43" s="1201"/>
      <c r="Q43" s="1201"/>
      <c r="R43" s="1201"/>
      <c r="S43" s="1201"/>
      <c r="T43" s="1201"/>
      <c r="U43" s="1201"/>
      <c r="V43" s="1201"/>
      <c r="W43" s="1201"/>
      <c r="X43" s="1201"/>
      <c r="Y43" s="1201"/>
      <c r="Z43" s="1201"/>
    </row>
    <row r="44" spans="1:26" s="895" customFormat="1" ht="16.5" customHeight="1" x14ac:dyDescent="0.2">
      <c r="A44" s="919"/>
      <c r="G44" s="1201"/>
      <c r="H44" s="1201"/>
      <c r="I44" s="1201"/>
      <c r="J44" s="1201"/>
      <c r="K44" s="1201"/>
      <c r="L44" s="1201"/>
      <c r="M44" s="1201"/>
      <c r="N44" s="1201"/>
      <c r="O44" s="1201"/>
      <c r="P44" s="1201"/>
      <c r="Q44" s="1201"/>
      <c r="R44" s="1201"/>
      <c r="S44" s="1201"/>
      <c r="T44" s="1201"/>
      <c r="U44" s="1201"/>
      <c r="V44" s="1201"/>
      <c r="W44" s="1201"/>
      <c r="X44" s="1201"/>
      <c r="Y44" s="1201"/>
      <c r="Z44" s="1201"/>
    </row>
    <row r="45" spans="1:26" s="895" customFormat="1" ht="16.5" customHeight="1" x14ac:dyDescent="0.2">
      <c r="A45" s="919"/>
      <c r="G45" s="1201"/>
      <c r="H45" s="1201"/>
      <c r="I45" s="1201"/>
      <c r="J45" s="1201"/>
      <c r="K45" s="1201"/>
      <c r="L45" s="1201"/>
      <c r="M45" s="1201"/>
      <c r="N45" s="1201"/>
      <c r="O45" s="1201"/>
      <c r="P45" s="1201"/>
      <c r="Q45" s="1201"/>
      <c r="R45" s="1201"/>
      <c r="S45" s="1201"/>
      <c r="T45" s="1201"/>
      <c r="U45" s="1201"/>
      <c r="V45" s="1201"/>
      <c r="W45" s="1201"/>
      <c r="X45" s="1201"/>
      <c r="Y45" s="1201"/>
      <c r="Z45" s="1201"/>
    </row>
    <row r="46" spans="1:26" s="895" customFormat="1" ht="16.5" customHeight="1" x14ac:dyDescent="0.2">
      <c r="A46" s="919"/>
      <c r="G46" s="1201"/>
      <c r="H46" s="1201"/>
      <c r="I46" s="1201"/>
      <c r="J46" s="1201"/>
      <c r="K46" s="1201"/>
      <c r="L46" s="1201"/>
      <c r="M46" s="1201"/>
      <c r="N46" s="1201"/>
      <c r="O46" s="1201"/>
      <c r="P46" s="1201"/>
      <c r="Q46" s="1201"/>
      <c r="R46" s="1201"/>
      <c r="S46" s="1201"/>
      <c r="T46" s="1201"/>
      <c r="U46" s="1201"/>
      <c r="V46" s="1201"/>
      <c r="W46" s="1201"/>
      <c r="X46" s="1201"/>
      <c r="Y46" s="1201"/>
      <c r="Z46" s="1201"/>
    </row>
    <row r="47" spans="1:26" s="895" customFormat="1" ht="16.5" customHeight="1" x14ac:dyDescent="0.2">
      <c r="A47" s="919"/>
      <c r="G47" s="1201"/>
      <c r="H47" s="1201"/>
      <c r="I47" s="1201"/>
      <c r="J47" s="1201"/>
      <c r="K47" s="1201"/>
      <c r="L47" s="1201"/>
      <c r="M47" s="1201"/>
      <c r="N47" s="1201"/>
      <c r="O47" s="1201"/>
      <c r="P47" s="1201"/>
      <c r="Q47" s="1201"/>
      <c r="R47" s="1201"/>
      <c r="S47" s="1201"/>
      <c r="T47" s="1201"/>
      <c r="U47" s="1201"/>
      <c r="V47" s="1201"/>
      <c r="W47" s="1201"/>
      <c r="X47" s="1201"/>
      <c r="Y47" s="1201"/>
      <c r="Z47" s="1201"/>
    </row>
    <row r="48" spans="1:26" s="895" customFormat="1" ht="16.5" customHeight="1" x14ac:dyDescent="0.2">
      <c r="A48" s="919"/>
      <c r="G48" s="1201"/>
      <c r="H48" s="1201"/>
      <c r="I48" s="1201"/>
      <c r="J48" s="1201"/>
      <c r="K48" s="1201"/>
      <c r="L48" s="1201"/>
      <c r="M48" s="1201"/>
      <c r="N48" s="1201"/>
      <c r="O48" s="1201"/>
      <c r="P48" s="1201"/>
      <c r="Q48" s="1201"/>
      <c r="R48" s="1201"/>
      <c r="S48" s="1201"/>
      <c r="T48" s="1201"/>
      <c r="U48" s="1201"/>
      <c r="V48" s="1201"/>
      <c r="W48" s="1201"/>
      <c r="X48" s="1201"/>
      <c r="Y48" s="1201"/>
      <c r="Z48" s="1201"/>
    </row>
    <row r="49" spans="1:26" s="895" customFormat="1" ht="16.5" customHeight="1" x14ac:dyDescent="0.2">
      <c r="A49" s="919" t="s">
        <v>897</v>
      </c>
      <c r="G49" s="1201"/>
      <c r="H49" s="1201"/>
      <c r="I49" s="1201"/>
      <c r="J49" s="1201"/>
      <c r="K49" s="1201"/>
      <c r="L49" s="1201"/>
      <c r="M49" s="1201"/>
      <c r="N49" s="1201"/>
      <c r="O49" s="1201"/>
      <c r="P49" s="1201"/>
      <c r="Q49" s="1201"/>
      <c r="R49" s="1201"/>
      <c r="S49" s="1201"/>
      <c r="T49" s="1201"/>
      <c r="U49" s="1201"/>
      <c r="V49" s="1201"/>
      <c r="W49" s="1201"/>
      <c r="X49" s="1201"/>
      <c r="Y49" s="1201"/>
      <c r="Z49" s="1201"/>
    </row>
    <row r="50" spans="1:26" s="725" customFormat="1" ht="9" customHeight="1" x14ac:dyDescent="0.2"/>
    <row r="51" spans="1:26" s="910" customFormat="1" ht="16.5" customHeight="1" x14ac:dyDescent="0.2">
      <c r="A51" s="899" t="s">
        <v>892</v>
      </c>
    </row>
    <row r="52" spans="1:26" s="683" customFormat="1" ht="16.5" customHeight="1" x14ac:dyDescent="0.2">
      <c r="A52" s="66" t="s">
        <v>814</v>
      </c>
      <c r="B52" s="871"/>
      <c r="C52" s="871"/>
      <c r="D52" s="871"/>
      <c r="E52" s="871"/>
      <c r="F52" s="871"/>
    </row>
    <row r="53" spans="1:26" ht="16.5" customHeight="1" x14ac:dyDescent="0.2">
      <c r="A53" s="32" t="s">
        <v>815</v>
      </c>
      <c r="B53" s="736"/>
      <c r="C53" s="736"/>
      <c r="D53" s="736"/>
      <c r="E53" s="736"/>
      <c r="F53" s="736"/>
    </row>
    <row r="54" spans="1:26" ht="16.5" customHeight="1" x14ac:dyDescent="0.2">
      <c r="A54" s="32" t="s">
        <v>895</v>
      </c>
      <c r="B54" s="736"/>
      <c r="C54" s="736"/>
      <c r="D54" s="736"/>
      <c r="E54" s="736"/>
      <c r="F54" s="736"/>
    </row>
    <row r="55" spans="1:26" s="685" customFormat="1" ht="16.5" customHeight="1" x14ac:dyDescent="0.2">
      <c r="A55" s="75" t="s">
        <v>816</v>
      </c>
      <c r="B55" s="739"/>
      <c r="C55" s="739"/>
      <c r="D55" s="739"/>
      <c r="E55" s="739"/>
      <c r="F55" s="739"/>
    </row>
    <row r="56" spans="1:26" s="687" customFormat="1" ht="16.5" customHeight="1" thickBot="1" x14ac:dyDescent="0.25">
      <c r="A56" s="890" t="s">
        <v>817</v>
      </c>
      <c r="B56" s="37">
        <f>SUM(B52:B55)</f>
        <v>0</v>
      </c>
      <c r="C56" s="37">
        <v>0</v>
      </c>
      <c r="D56" s="37">
        <v>0</v>
      </c>
      <c r="E56" s="37">
        <v>0</v>
      </c>
      <c r="F56" s="37">
        <v>0</v>
      </c>
    </row>
    <row r="57" spans="1:26" s="857" customFormat="1" ht="16.5" customHeight="1" x14ac:dyDescent="0.2">
      <c r="G57" s="1169"/>
      <c r="H57" s="1169"/>
      <c r="I57" s="1169"/>
      <c r="J57" s="1169"/>
      <c r="K57" s="1169"/>
      <c r="L57" s="1169"/>
      <c r="M57" s="1169"/>
      <c r="N57" s="1169"/>
      <c r="O57" s="1169"/>
      <c r="P57" s="1169"/>
      <c r="Q57" s="1169"/>
      <c r="R57" s="1169"/>
      <c r="S57" s="1169"/>
      <c r="T57" s="1169"/>
      <c r="U57" s="1169"/>
      <c r="V57" s="1169"/>
      <c r="W57" s="1169"/>
      <c r="X57" s="1169"/>
      <c r="Y57" s="1169"/>
      <c r="Z57" s="1169"/>
    </row>
    <row r="58" spans="1:26" s="857" customFormat="1" ht="16.5" customHeight="1" x14ac:dyDescent="0.2">
      <c r="G58" s="1169"/>
      <c r="H58" s="1169"/>
      <c r="I58" s="1169"/>
      <c r="J58" s="1169"/>
      <c r="K58" s="1169"/>
      <c r="L58" s="1169"/>
      <c r="M58" s="1169"/>
      <c r="N58" s="1169"/>
      <c r="O58" s="1169"/>
      <c r="P58" s="1169"/>
      <c r="Q58" s="1169"/>
      <c r="R58" s="1169"/>
      <c r="S58" s="1169"/>
      <c r="T58" s="1169"/>
      <c r="U58" s="1169"/>
      <c r="V58" s="1169"/>
      <c r="W58" s="1169"/>
      <c r="X58" s="1169"/>
      <c r="Y58" s="1169"/>
      <c r="Z58" s="1169"/>
    </row>
    <row r="59" spans="1:26" s="1119" customFormat="1" ht="16.5" customHeight="1" x14ac:dyDescent="0.2">
      <c r="A59" s="891" t="s">
        <v>894</v>
      </c>
    </row>
    <row r="60" spans="1:26" s="857" customFormat="1" ht="9" customHeight="1" x14ac:dyDescent="0.2">
      <c r="G60" s="1169"/>
      <c r="H60" s="1169"/>
      <c r="I60" s="1169"/>
      <c r="J60" s="1169"/>
      <c r="K60" s="1169"/>
      <c r="L60" s="1169"/>
      <c r="M60" s="1169"/>
      <c r="N60" s="1169"/>
      <c r="O60" s="1169"/>
      <c r="P60" s="1169"/>
      <c r="Q60" s="1169"/>
      <c r="R60" s="1169"/>
      <c r="S60" s="1169"/>
      <c r="T60" s="1169"/>
      <c r="U60" s="1169"/>
      <c r="V60" s="1169"/>
      <c r="W60" s="1169"/>
      <c r="X60" s="1169"/>
      <c r="Y60" s="1169"/>
      <c r="Z60" s="1169"/>
    </row>
    <row r="61" spans="1:26" s="857" customFormat="1" ht="16.5" customHeight="1" x14ac:dyDescent="0.2">
      <c r="A61" s="246" t="s">
        <v>241</v>
      </c>
      <c r="B61" s="50" t="s">
        <v>493</v>
      </c>
      <c r="C61" s="50"/>
      <c r="D61" s="50"/>
      <c r="E61" s="50"/>
      <c r="F61" s="50"/>
      <c r="G61" s="1169"/>
      <c r="H61" s="1169"/>
      <c r="I61" s="1169"/>
      <c r="J61" s="1169"/>
      <c r="K61" s="1169"/>
      <c r="L61" s="1169"/>
      <c r="M61" s="1169"/>
      <c r="N61" s="1169"/>
      <c r="O61" s="1169"/>
      <c r="P61" s="1169"/>
      <c r="Q61" s="1169"/>
      <c r="R61" s="1169"/>
      <c r="S61" s="1169"/>
      <c r="T61" s="1169"/>
      <c r="U61" s="1169"/>
      <c r="V61" s="1169"/>
      <c r="W61" s="1169"/>
      <c r="X61" s="1169"/>
      <c r="Y61" s="1169"/>
      <c r="Z61" s="1169"/>
    </row>
    <row r="62" spans="1:26" s="857" customFormat="1" ht="16.5" customHeight="1" x14ac:dyDescent="0.2">
      <c r="B62" s="644">
        <f>'BS Analysis Adjustments'!B1</f>
        <v>2011</v>
      </c>
      <c r="C62" s="644">
        <f>'BS Analysis Adjustments'!L1</f>
        <v>2012</v>
      </c>
      <c r="D62" s="644">
        <f>'BS Analysis Adjustments'!V1</f>
        <v>2013</v>
      </c>
      <c r="E62" s="644">
        <f>'BS Analysis Adjustments'!AF1</f>
        <v>2014</v>
      </c>
      <c r="F62" s="644">
        <f>'BS Analysis Adjustments'!AP1</f>
        <v>2015</v>
      </c>
      <c r="G62" s="1169"/>
      <c r="H62" s="1169"/>
      <c r="I62" s="1169"/>
      <c r="J62" s="1169"/>
      <c r="K62" s="1169"/>
      <c r="L62" s="1169"/>
      <c r="M62" s="1169"/>
      <c r="N62" s="1169"/>
      <c r="O62" s="1169"/>
      <c r="P62" s="1169"/>
      <c r="Q62" s="1169"/>
      <c r="R62" s="1169"/>
      <c r="S62" s="1169"/>
      <c r="T62" s="1169"/>
      <c r="U62" s="1169"/>
      <c r="V62" s="1169"/>
      <c r="W62" s="1169"/>
      <c r="X62" s="1169"/>
      <c r="Y62" s="1169"/>
      <c r="Z62" s="1169"/>
    </row>
    <row r="63" spans="1:26" s="920" customFormat="1" ht="16.5" customHeight="1" x14ac:dyDescent="0.2">
      <c r="A63" s="921" t="s">
        <v>416</v>
      </c>
      <c r="G63" s="1193"/>
      <c r="H63" s="1193"/>
      <c r="I63" s="1193"/>
      <c r="J63" s="1193"/>
      <c r="K63" s="1193"/>
      <c r="L63" s="1193"/>
      <c r="M63" s="1193"/>
      <c r="N63" s="1193"/>
      <c r="O63" s="1193"/>
      <c r="P63" s="1193"/>
      <c r="Q63" s="1193"/>
      <c r="R63" s="1193"/>
      <c r="S63" s="1193"/>
      <c r="T63" s="1193"/>
      <c r="U63" s="1193"/>
      <c r="V63" s="1193"/>
      <c r="W63" s="1193"/>
      <c r="X63" s="1193"/>
      <c r="Y63" s="1193"/>
      <c r="Z63" s="1193"/>
    </row>
    <row r="64" spans="1:26" s="895" customFormat="1" ht="16.5" customHeight="1" x14ac:dyDescent="0.2">
      <c r="A64" s="919"/>
      <c r="G64" s="1201"/>
      <c r="H64" s="1201"/>
      <c r="I64" s="1201"/>
      <c r="J64" s="1201"/>
      <c r="K64" s="1201"/>
      <c r="L64" s="1201"/>
      <c r="M64" s="1201"/>
      <c r="N64" s="1201"/>
      <c r="O64" s="1201"/>
      <c r="P64" s="1201"/>
      <c r="Q64" s="1201"/>
      <c r="R64" s="1201"/>
      <c r="S64" s="1201"/>
      <c r="T64" s="1201"/>
      <c r="U64" s="1201"/>
      <c r="V64" s="1201"/>
      <c r="W64" s="1201"/>
      <c r="X64" s="1201"/>
      <c r="Y64" s="1201"/>
      <c r="Z64" s="1201"/>
    </row>
    <row r="65" spans="1:26" s="895" customFormat="1" ht="16.5" customHeight="1" x14ac:dyDescent="0.2">
      <c r="A65" s="919"/>
      <c r="G65" s="1201"/>
      <c r="H65" s="1201"/>
      <c r="I65" s="1201"/>
      <c r="J65" s="1201"/>
      <c r="K65" s="1201"/>
      <c r="L65" s="1201"/>
      <c r="M65" s="1201"/>
      <c r="N65" s="1201"/>
      <c r="O65" s="1201"/>
      <c r="P65" s="1201"/>
      <c r="Q65" s="1201"/>
      <c r="R65" s="1201"/>
      <c r="S65" s="1201"/>
      <c r="T65" s="1201"/>
      <c r="U65" s="1201"/>
      <c r="V65" s="1201"/>
      <c r="W65" s="1201"/>
      <c r="X65" s="1201"/>
      <c r="Y65" s="1201"/>
      <c r="Z65" s="1201"/>
    </row>
    <row r="66" spans="1:26" s="895" customFormat="1" ht="16.5" customHeight="1" x14ac:dyDescent="0.2">
      <c r="A66" s="919"/>
      <c r="G66" s="1201"/>
      <c r="H66" s="1201"/>
      <c r="I66" s="1201"/>
      <c r="J66" s="1201"/>
      <c r="K66" s="1201"/>
      <c r="L66" s="1201"/>
      <c r="M66" s="1201"/>
      <c r="N66" s="1201"/>
      <c r="O66" s="1201"/>
      <c r="P66" s="1201"/>
      <c r="Q66" s="1201"/>
      <c r="R66" s="1201"/>
      <c r="S66" s="1201"/>
      <c r="T66" s="1201"/>
      <c r="U66" s="1201"/>
      <c r="V66" s="1201"/>
      <c r="W66" s="1201"/>
      <c r="X66" s="1201"/>
      <c r="Y66" s="1201"/>
      <c r="Z66" s="1201"/>
    </row>
    <row r="67" spans="1:26" s="895" customFormat="1" ht="16.5" customHeight="1" x14ac:dyDescent="0.2">
      <c r="A67" s="919"/>
      <c r="G67" s="1201"/>
      <c r="H67" s="1201"/>
      <c r="I67" s="1201"/>
      <c r="J67" s="1201"/>
      <c r="K67" s="1201"/>
      <c r="L67" s="1201"/>
      <c r="M67" s="1201"/>
      <c r="N67" s="1201"/>
      <c r="O67" s="1201"/>
      <c r="P67" s="1201"/>
      <c r="Q67" s="1201"/>
      <c r="R67" s="1201"/>
      <c r="S67" s="1201"/>
      <c r="T67" s="1201"/>
      <c r="U67" s="1201"/>
      <c r="V67" s="1201"/>
      <c r="W67" s="1201"/>
      <c r="X67" s="1201"/>
      <c r="Y67" s="1201"/>
      <c r="Z67" s="1201"/>
    </row>
    <row r="68" spans="1:26" s="895" customFormat="1" ht="16.5" customHeight="1" x14ac:dyDescent="0.2">
      <c r="A68" s="919"/>
      <c r="G68" s="1201"/>
      <c r="H68" s="1201"/>
      <c r="I68" s="1201"/>
      <c r="J68" s="1201"/>
      <c r="K68" s="1201"/>
      <c r="L68" s="1201"/>
      <c r="M68" s="1201"/>
      <c r="N68" s="1201"/>
      <c r="O68" s="1201"/>
      <c r="P68" s="1201"/>
      <c r="Q68" s="1201"/>
      <c r="R68" s="1201"/>
      <c r="S68" s="1201"/>
      <c r="T68" s="1201"/>
      <c r="U68" s="1201"/>
      <c r="V68" s="1201"/>
      <c r="W68" s="1201"/>
      <c r="X68" s="1201"/>
      <c r="Y68" s="1201"/>
      <c r="Z68" s="1201"/>
    </row>
    <row r="69" spans="1:26" s="895" customFormat="1" ht="16.5" customHeight="1" x14ac:dyDescent="0.2">
      <c r="A69" s="919"/>
      <c r="G69" s="1201"/>
      <c r="H69" s="1201"/>
      <c r="I69" s="1201"/>
      <c r="J69" s="1201"/>
      <c r="K69" s="1201"/>
      <c r="L69" s="1201"/>
      <c r="M69" s="1201"/>
      <c r="N69" s="1201"/>
      <c r="O69" s="1201"/>
      <c r="P69" s="1201"/>
      <c r="Q69" s="1201"/>
      <c r="R69" s="1201"/>
      <c r="S69" s="1201"/>
      <c r="T69" s="1201"/>
      <c r="U69" s="1201"/>
      <c r="V69" s="1201"/>
      <c r="W69" s="1201"/>
      <c r="X69" s="1201"/>
      <c r="Y69" s="1201"/>
      <c r="Z69" s="1201"/>
    </row>
    <row r="70" spans="1:26" s="895" customFormat="1" ht="16.5" customHeight="1" x14ac:dyDescent="0.2">
      <c r="A70" s="919"/>
      <c r="G70" s="1201"/>
      <c r="H70" s="1201"/>
      <c r="I70" s="1201"/>
      <c r="J70" s="1201"/>
      <c r="K70" s="1201"/>
      <c r="L70" s="1201"/>
      <c r="M70" s="1201"/>
      <c r="N70" s="1201"/>
      <c r="O70" s="1201"/>
      <c r="P70" s="1201"/>
      <c r="Q70" s="1201"/>
      <c r="R70" s="1201"/>
      <c r="S70" s="1201"/>
      <c r="T70" s="1201"/>
      <c r="U70" s="1201"/>
      <c r="V70" s="1201"/>
      <c r="W70" s="1201"/>
      <c r="X70" s="1201"/>
      <c r="Y70" s="1201"/>
      <c r="Z70" s="1201"/>
    </row>
    <row r="71" spans="1:26" s="895" customFormat="1" ht="16.5" customHeight="1" x14ac:dyDescent="0.2">
      <c r="A71" s="919"/>
      <c r="G71" s="1201"/>
      <c r="H71" s="1201"/>
      <c r="I71" s="1201"/>
      <c r="J71" s="1201"/>
      <c r="K71" s="1201"/>
      <c r="L71" s="1201"/>
      <c r="M71" s="1201"/>
      <c r="N71" s="1201"/>
      <c r="O71" s="1201"/>
      <c r="P71" s="1201"/>
      <c r="Q71" s="1201"/>
      <c r="R71" s="1201"/>
      <c r="S71" s="1201"/>
      <c r="T71" s="1201"/>
      <c r="U71" s="1201"/>
      <c r="V71" s="1201"/>
      <c r="W71" s="1201"/>
      <c r="X71" s="1201"/>
      <c r="Y71" s="1201"/>
      <c r="Z71" s="1201"/>
    </row>
    <row r="72" spans="1:26" s="895" customFormat="1" ht="16.5" customHeight="1" x14ac:dyDescent="0.2">
      <c r="A72" s="919"/>
      <c r="G72" s="1201"/>
      <c r="H72" s="1201"/>
      <c r="I72" s="1201"/>
      <c r="J72" s="1201"/>
      <c r="K72" s="1201"/>
      <c r="L72" s="1201"/>
      <c r="M72" s="1201"/>
      <c r="N72" s="1201"/>
      <c r="O72" s="1201"/>
      <c r="P72" s="1201"/>
      <c r="Q72" s="1201"/>
      <c r="R72" s="1201"/>
      <c r="S72" s="1201"/>
      <c r="T72" s="1201"/>
      <c r="U72" s="1201"/>
      <c r="V72" s="1201"/>
      <c r="W72" s="1201"/>
      <c r="X72" s="1201"/>
      <c r="Y72" s="1201"/>
      <c r="Z72" s="1201"/>
    </row>
    <row r="73" spans="1:26" s="895" customFormat="1" ht="16.5" customHeight="1" x14ac:dyDescent="0.2">
      <c r="A73" s="919"/>
      <c r="G73" s="1201"/>
      <c r="H73" s="1201"/>
      <c r="I73" s="1201"/>
      <c r="J73" s="1201"/>
      <c r="K73" s="1201"/>
      <c r="L73" s="1201"/>
      <c r="M73" s="1201"/>
      <c r="N73" s="1201"/>
      <c r="O73" s="1201"/>
      <c r="P73" s="1201"/>
      <c r="Q73" s="1201"/>
      <c r="R73" s="1201"/>
      <c r="S73" s="1201"/>
      <c r="T73" s="1201"/>
      <c r="U73" s="1201"/>
      <c r="V73" s="1201"/>
      <c r="W73" s="1201"/>
      <c r="X73" s="1201"/>
      <c r="Y73" s="1201"/>
      <c r="Z73" s="1201"/>
    </row>
    <row r="74" spans="1:26" s="895" customFormat="1" ht="16.5" customHeight="1" x14ac:dyDescent="0.2">
      <c r="A74" s="919"/>
      <c r="G74" s="1201"/>
      <c r="H74" s="1201"/>
      <c r="I74" s="1201"/>
      <c r="J74" s="1201"/>
      <c r="K74" s="1201"/>
      <c r="L74" s="1201"/>
      <c r="M74" s="1201"/>
      <c r="N74" s="1201"/>
      <c r="O74" s="1201"/>
      <c r="P74" s="1201"/>
      <c r="Q74" s="1201"/>
      <c r="R74" s="1201"/>
      <c r="S74" s="1201"/>
      <c r="T74" s="1201"/>
      <c r="U74" s="1201"/>
      <c r="V74" s="1201"/>
      <c r="W74" s="1201"/>
      <c r="X74" s="1201"/>
      <c r="Y74" s="1201"/>
      <c r="Z74" s="1201"/>
    </row>
    <row r="75" spans="1:26" s="895" customFormat="1" ht="16.5" customHeight="1" x14ac:dyDescent="0.2">
      <c r="A75" s="919"/>
      <c r="G75" s="1201"/>
      <c r="H75" s="1201"/>
      <c r="I75" s="1201"/>
      <c r="J75" s="1201"/>
      <c r="K75" s="1201"/>
      <c r="L75" s="1201"/>
      <c r="M75" s="1201"/>
      <c r="N75" s="1201"/>
      <c r="O75" s="1201"/>
      <c r="P75" s="1201"/>
      <c r="Q75" s="1201"/>
      <c r="R75" s="1201"/>
      <c r="S75" s="1201"/>
      <c r="T75" s="1201"/>
      <c r="U75" s="1201"/>
      <c r="V75" s="1201"/>
      <c r="W75" s="1201"/>
      <c r="X75" s="1201"/>
      <c r="Y75" s="1201"/>
      <c r="Z75" s="1201"/>
    </row>
    <row r="76" spans="1:26" s="895" customFormat="1" ht="16.5" customHeight="1" x14ac:dyDescent="0.2">
      <c r="A76" s="919"/>
      <c r="G76" s="1201"/>
      <c r="H76" s="1201"/>
      <c r="I76" s="1201"/>
      <c r="J76" s="1201"/>
      <c r="K76" s="1201"/>
      <c r="L76" s="1201"/>
      <c r="M76" s="1201"/>
      <c r="N76" s="1201"/>
      <c r="O76" s="1201"/>
      <c r="P76" s="1201"/>
      <c r="Q76" s="1201"/>
      <c r="R76" s="1201"/>
      <c r="S76" s="1201"/>
      <c r="T76" s="1201"/>
      <c r="U76" s="1201"/>
      <c r="V76" s="1201"/>
      <c r="W76" s="1201"/>
      <c r="X76" s="1201"/>
      <c r="Y76" s="1201"/>
      <c r="Z76" s="1201"/>
    </row>
    <row r="77" spans="1:26" s="895" customFormat="1" ht="16.5" customHeight="1" x14ac:dyDescent="0.2">
      <c r="A77" s="919"/>
      <c r="G77" s="1201"/>
      <c r="H77" s="1201"/>
      <c r="I77" s="1201"/>
      <c r="J77" s="1201"/>
      <c r="K77" s="1201"/>
      <c r="L77" s="1201"/>
      <c r="M77" s="1201"/>
      <c r="N77" s="1201"/>
      <c r="O77" s="1201"/>
      <c r="P77" s="1201"/>
      <c r="Q77" s="1201"/>
      <c r="R77" s="1201"/>
      <c r="S77" s="1201"/>
      <c r="T77" s="1201"/>
      <c r="U77" s="1201"/>
      <c r="V77" s="1201"/>
      <c r="W77" s="1201"/>
      <c r="X77" s="1201"/>
      <c r="Y77" s="1201"/>
      <c r="Z77" s="1201"/>
    </row>
    <row r="78" spans="1:26" s="895" customFormat="1" ht="16.5" customHeight="1" x14ac:dyDescent="0.2">
      <c r="A78" s="919" t="s">
        <v>897</v>
      </c>
      <c r="G78" s="1201"/>
      <c r="H78" s="1201"/>
      <c r="I78" s="1201"/>
      <c r="J78" s="1201"/>
      <c r="K78" s="1201"/>
      <c r="L78" s="1201"/>
      <c r="M78" s="1201"/>
      <c r="N78" s="1201"/>
      <c r="O78" s="1201"/>
      <c r="P78" s="1201"/>
      <c r="Q78" s="1201"/>
      <c r="R78" s="1201"/>
      <c r="S78" s="1201"/>
      <c r="T78" s="1201"/>
      <c r="U78" s="1201"/>
      <c r="V78" s="1201"/>
      <c r="W78" s="1201"/>
      <c r="X78" s="1201"/>
      <c r="Y78" s="1201"/>
      <c r="Z78" s="1201"/>
    </row>
    <row r="79" spans="1:26" s="725" customFormat="1" ht="9" customHeight="1" x14ac:dyDescent="0.2"/>
    <row r="80" spans="1:26" s="910" customFormat="1" ht="16.5" customHeight="1" x14ac:dyDescent="0.2">
      <c r="A80" s="899" t="s">
        <v>892</v>
      </c>
    </row>
    <row r="81" spans="1:26" s="683" customFormat="1" ht="16.5" customHeight="1" x14ac:dyDescent="0.2">
      <c r="A81" s="66" t="s">
        <v>814</v>
      </c>
      <c r="B81" s="871"/>
      <c r="C81" s="871"/>
      <c r="D81" s="871"/>
      <c r="E81" s="871"/>
      <c r="F81" s="871"/>
    </row>
    <row r="82" spans="1:26" ht="16.5" customHeight="1" x14ac:dyDescent="0.2">
      <c r="A82" s="32" t="s">
        <v>818</v>
      </c>
      <c r="B82" s="736"/>
      <c r="C82" s="736"/>
      <c r="D82" s="736"/>
      <c r="E82" s="736"/>
      <c r="F82" s="736"/>
    </row>
    <row r="83" spans="1:26" ht="16.5" customHeight="1" x14ac:dyDescent="0.2">
      <c r="A83" s="32" t="s">
        <v>895</v>
      </c>
      <c r="B83" s="736"/>
      <c r="C83" s="736"/>
      <c r="D83" s="736"/>
      <c r="E83" s="736"/>
      <c r="F83" s="736"/>
    </row>
    <row r="84" spans="1:26" s="685" customFormat="1" ht="16.5" customHeight="1" x14ac:dyDescent="0.2">
      <c r="A84" s="75" t="s">
        <v>816</v>
      </c>
      <c r="B84" s="739"/>
      <c r="C84" s="739"/>
      <c r="D84" s="739"/>
      <c r="E84" s="739"/>
      <c r="F84" s="739"/>
      <c r="H84" s="911"/>
    </row>
    <row r="85" spans="1:26" s="687" customFormat="1" ht="16.5" customHeight="1" thickBot="1" x14ac:dyDescent="0.25">
      <c r="A85" s="890" t="s">
        <v>817</v>
      </c>
      <c r="B85" s="37">
        <f>SUM(B81:B84)</f>
        <v>0</v>
      </c>
      <c r="C85" s="37">
        <f>SUM(C81:C84)</f>
        <v>0</v>
      </c>
      <c r="D85" s="37">
        <f>SUM(D81:D84)</f>
        <v>0</v>
      </c>
      <c r="E85" s="37">
        <f>SUM(E81:E84)</f>
        <v>0</v>
      </c>
      <c r="F85" s="37">
        <f>SUM(F81:F84)</f>
        <v>0</v>
      </c>
    </row>
    <row r="86" spans="1:26" s="857" customFormat="1" ht="16.5" customHeight="1" x14ac:dyDescent="0.2">
      <c r="G86" s="677"/>
      <c r="H86" s="677"/>
      <c r="I86" s="1169"/>
      <c r="J86" s="1169"/>
      <c r="K86" s="1169"/>
      <c r="L86" s="1169"/>
      <c r="M86" s="1169"/>
      <c r="N86" s="1169"/>
      <c r="O86" s="1169"/>
      <c r="P86" s="1169"/>
      <c r="Q86" s="1169"/>
      <c r="R86" s="1169"/>
      <c r="S86" s="1169"/>
      <c r="T86" s="1169"/>
      <c r="U86" s="1169"/>
      <c r="V86" s="1169"/>
      <c r="W86" s="1169"/>
      <c r="X86" s="1169"/>
      <c r="Y86" s="1169"/>
      <c r="Z86" s="1169"/>
    </row>
    <row r="87" spans="1:26" s="857" customFormat="1" ht="16.5" customHeight="1" x14ac:dyDescent="0.2">
      <c r="G87" s="1169"/>
      <c r="H87" s="1169"/>
      <c r="I87" s="1169"/>
      <c r="J87" s="1169"/>
      <c r="K87" s="1169"/>
      <c r="L87" s="1169"/>
      <c r="M87" s="1169"/>
      <c r="N87" s="1169"/>
      <c r="O87" s="1169"/>
      <c r="P87" s="1169"/>
      <c r="Q87" s="1169"/>
      <c r="R87" s="1169"/>
      <c r="S87" s="1169"/>
      <c r="T87" s="1169"/>
      <c r="U87" s="1169"/>
      <c r="V87" s="1169"/>
      <c r="W87" s="1169"/>
      <c r="X87" s="1169"/>
      <c r="Y87" s="1169"/>
      <c r="Z87" s="1169"/>
    </row>
    <row r="88" spans="1:26" s="1119" customFormat="1" ht="16.5" customHeight="1" x14ac:dyDescent="0.2">
      <c r="A88" s="891" t="s">
        <v>896</v>
      </c>
    </row>
    <row r="89" spans="1:26" s="857" customFormat="1" ht="9" customHeight="1" x14ac:dyDescent="0.2">
      <c r="G89" s="1169"/>
      <c r="H89" s="1169"/>
      <c r="I89" s="1169"/>
      <c r="J89" s="1169"/>
      <c r="K89" s="1169"/>
      <c r="L89" s="1169"/>
      <c r="M89" s="1169"/>
      <c r="N89" s="1169"/>
      <c r="O89" s="1169"/>
      <c r="P89" s="1169"/>
      <c r="Q89" s="1169"/>
      <c r="R89" s="1169"/>
      <c r="S89" s="1169"/>
      <c r="T89" s="1169"/>
      <c r="U89" s="1169"/>
      <c r="V89" s="1169"/>
      <c r="W89" s="1169"/>
      <c r="X89" s="1169"/>
      <c r="Y89" s="1169"/>
      <c r="Z89" s="1169"/>
    </row>
    <row r="90" spans="1:26" s="857" customFormat="1" ht="16.5" customHeight="1" x14ac:dyDescent="0.2">
      <c r="A90" s="246" t="s">
        <v>241</v>
      </c>
      <c r="B90" s="50" t="s">
        <v>493</v>
      </c>
      <c r="C90" s="50"/>
      <c r="D90" s="50"/>
      <c r="E90" s="50"/>
      <c r="F90" s="50"/>
      <c r="G90" s="1169"/>
      <c r="H90" s="1169"/>
      <c r="I90" s="1169"/>
      <c r="J90" s="1169"/>
      <c r="K90" s="1169"/>
      <c r="L90" s="1169"/>
      <c r="M90" s="1169"/>
      <c r="N90" s="1169"/>
      <c r="O90" s="1169"/>
      <c r="P90" s="1169"/>
      <c r="Q90" s="1169"/>
      <c r="R90" s="1169"/>
      <c r="S90" s="1169"/>
      <c r="T90" s="1169"/>
      <c r="U90" s="1169"/>
      <c r="V90" s="1169"/>
      <c r="W90" s="1169"/>
      <c r="X90" s="1169"/>
      <c r="Y90" s="1169"/>
      <c r="Z90" s="1169"/>
    </row>
    <row r="91" spans="1:26" s="857" customFormat="1" ht="16.5" customHeight="1" x14ac:dyDescent="0.2">
      <c r="B91" s="644">
        <f>'BS Analysis Adjustments'!B1</f>
        <v>2011</v>
      </c>
      <c r="C91" s="644">
        <f>'BS Analysis Adjustments'!L1</f>
        <v>2012</v>
      </c>
      <c r="D91" s="644">
        <f>'BS Analysis Adjustments'!V1</f>
        <v>2013</v>
      </c>
      <c r="E91" s="644">
        <f>'BS Analysis Adjustments'!AF1</f>
        <v>2014</v>
      </c>
      <c r="F91" s="644">
        <f>'BS Analysis Adjustments'!AP1</f>
        <v>2015</v>
      </c>
      <c r="G91" s="1169"/>
      <c r="H91" s="1169"/>
      <c r="I91" s="1169"/>
      <c r="J91" s="1169"/>
      <c r="K91" s="1169"/>
      <c r="L91" s="1169"/>
      <c r="M91" s="1169"/>
      <c r="N91" s="1169"/>
      <c r="O91" s="1169"/>
      <c r="P91" s="1169"/>
      <c r="Q91" s="1169"/>
      <c r="R91" s="1169"/>
      <c r="S91" s="1169"/>
      <c r="T91" s="1169"/>
      <c r="U91" s="1169"/>
      <c r="V91" s="1169"/>
      <c r="W91" s="1169"/>
      <c r="X91" s="1169"/>
      <c r="Y91" s="1169"/>
      <c r="Z91" s="1169"/>
    </row>
    <row r="92" spans="1:26" s="920" customFormat="1" ht="16.5" customHeight="1" x14ac:dyDescent="0.2">
      <c r="A92" s="921" t="s">
        <v>416</v>
      </c>
      <c r="G92" s="1193"/>
      <c r="H92" s="1193"/>
      <c r="I92" s="1193"/>
      <c r="J92" s="1193"/>
      <c r="K92" s="1193"/>
      <c r="L92" s="1193"/>
      <c r="M92" s="1193"/>
      <c r="N92" s="1193"/>
      <c r="O92" s="1193"/>
      <c r="P92" s="1193"/>
      <c r="Q92" s="1193"/>
      <c r="R92" s="1193"/>
      <c r="S92" s="1193"/>
      <c r="T92" s="1193"/>
      <c r="U92" s="1193"/>
      <c r="V92" s="1193"/>
      <c r="W92" s="1193"/>
      <c r="X92" s="1193"/>
      <c r="Y92" s="1193"/>
      <c r="Z92" s="1193"/>
    </row>
    <row r="93" spans="1:26" s="895" customFormat="1" ht="16.5" customHeight="1" x14ac:dyDescent="0.2">
      <c r="A93" s="919"/>
      <c r="G93" s="1201"/>
      <c r="H93" s="1201"/>
      <c r="I93" s="1201"/>
      <c r="J93" s="1201"/>
      <c r="K93" s="1201"/>
      <c r="L93" s="1201"/>
      <c r="M93" s="1201"/>
      <c r="N93" s="1201"/>
      <c r="O93" s="1201"/>
      <c r="P93" s="1201"/>
      <c r="Q93" s="1201"/>
      <c r="R93" s="1201"/>
      <c r="S93" s="1201"/>
      <c r="T93" s="1201"/>
      <c r="U93" s="1201"/>
      <c r="V93" s="1201"/>
      <c r="W93" s="1201"/>
      <c r="X93" s="1201"/>
      <c r="Y93" s="1201"/>
      <c r="Z93" s="1201"/>
    </row>
    <row r="94" spans="1:26" s="895" customFormat="1" ht="16.5" customHeight="1" x14ac:dyDescent="0.2">
      <c r="A94" s="919"/>
      <c r="G94" s="1201"/>
      <c r="H94" s="1201"/>
      <c r="I94" s="1201"/>
      <c r="J94" s="1201"/>
      <c r="K94" s="1201"/>
      <c r="L94" s="1201"/>
      <c r="M94" s="1201"/>
      <c r="N94" s="1201"/>
      <c r="O94" s="1201"/>
      <c r="P94" s="1201"/>
      <c r="Q94" s="1201"/>
      <c r="R94" s="1201"/>
      <c r="S94" s="1201"/>
      <c r="T94" s="1201"/>
      <c r="U94" s="1201"/>
      <c r="V94" s="1201"/>
      <c r="W94" s="1201"/>
      <c r="X94" s="1201"/>
      <c r="Y94" s="1201"/>
      <c r="Z94" s="1201"/>
    </row>
    <row r="95" spans="1:26" s="895" customFormat="1" ht="16.5" customHeight="1" x14ac:dyDescent="0.2">
      <c r="A95" s="919"/>
      <c r="G95" s="1201"/>
      <c r="H95" s="1201"/>
      <c r="I95" s="1201"/>
      <c r="J95" s="1201"/>
      <c r="K95" s="1201"/>
      <c r="L95" s="1201"/>
      <c r="M95" s="1201"/>
      <c r="N95" s="1201"/>
      <c r="O95" s="1201"/>
      <c r="P95" s="1201"/>
      <c r="Q95" s="1201"/>
      <c r="R95" s="1201"/>
      <c r="S95" s="1201"/>
      <c r="T95" s="1201"/>
      <c r="U95" s="1201"/>
      <c r="V95" s="1201"/>
      <c r="W95" s="1201"/>
      <c r="X95" s="1201"/>
      <c r="Y95" s="1201"/>
      <c r="Z95" s="1201"/>
    </row>
    <row r="96" spans="1:26" s="895" customFormat="1" ht="16.5" customHeight="1" x14ac:dyDescent="0.2">
      <c r="A96" s="919"/>
      <c r="G96" s="1201"/>
      <c r="H96" s="1201"/>
      <c r="I96" s="1201"/>
      <c r="J96" s="1201"/>
      <c r="K96" s="1201"/>
      <c r="L96" s="1201"/>
      <c r="M96" s="1201"/>
      <c r="N96" s="1201"/>
      <c r="O96" s="1201"/>
      <c r="P96" s="1201"/>
      <c r="Q96" s="1201"/>
      <c r="R96" s="1201"/>
      <c r="S96" s="1201"/>
      <c r="T96" s="1201"/>
      <c r="U96" s="1201"/>
      <c r="V96" s="1201"/>
      <c r="W96" s="1201"/>
      <c r="X96" s="1201"/>
      <c r="Y96" s="1201"/>
      <c r="Z96" s="1201"/>
    </row>
    <row r="97" spans="1:26" s="895" customFormat="1" ht="16.5" customHeight="1" x14ac:dyDescent="0.2">
      <c r="A97" s="919"/>
      <c r="G97" s="1201"/>
      <c r="H97" s="1201"/>
      <c r="I97" s="1201"/>
      <c r="J97" s="1201"/>
      <c r="K97" s="1201"/>
      <c r="L97" s="1201"/>
      <c r="M97" s="1201"/>
      <c r="N97" s="1201"/>
      <c r="O97" s="1201"/>
      <c r="P97" s="1201"/>
      <c r="Q97" s="1201"/>
      <c r="R97" s="1201"/>
      <c r="S97" s="1201"/>
      <c r="T97" s="1201"/>
      <c r="U97" s="1201"/>
      <c r="V97" s="1201"/>
      <c r="W97" s="1201"/>
      <c r="X97" s="1201"/>
      <c r="Y97" s="1201"/>
      <c r="Z97" s="1201"/>
    </row>
    <row r="98" spans="1:26" s="895" customFormat="1" ht="16.5" customHeight="1" x14ac:dyDescent="0.2">
      <c r="A98" s="919"/>
      <c r="G98" s="1201"/>
      <c r="H98" s="1201"/>
      <c r="I98" s="1201"/>
      <c r="J98" s="1201"/>
      <c r="K98" s="1201"/>
      <c r="L98" s="1201"/>
      <c r="M98" s="1201"/>
      <c r="N98" s="1201"/>
      <c r="O98" s="1201"/>
      <c r="P98" s="1201"/>
      <c r="Q98" s="1201"/>
      <c r="R98" s="1201"/>
      <c r="S98" s="1201"/>
      <c r="T98" s="1201"/>
      <c r="U98" s="1201"/>
      <c r="V98" s="1201"/>
      <c r="W98" s="1201"/>
      <c r="X98" s="1201"/>
      <c r="Y98" s="1201"/>
      <c r="Z98" s="1201"/>
    </row>
    <row r="99" spans="1:26" s="895" customFormat="1" ht="16.5" customHeight="1" x14ac:dyDescent="0.2">
      <c r="A99" s="919"/>
      <c r="G99" s="1201"/>
      <c r="H99" s="1201"/>
      <c r="I99" s="1201"/>
      <c r="J99" s="1201"/>
      <c r="K99" s="1201"/>
      <c r="L99" s="1201"/>
      <c r="M99" s="1201"/>
      <c r="N99" s="1201"/>
      <c r="O99" s="1201"/>
      <c r="P99" s="1201"/>
      <c r="Q99" s="1201"/>
      <c r="R99" s="1201"/>
      <c r="S99" s="1201"/>
      <c r="T99" s="1201"/>
      <c r="U99" s="1201"/>
      <c r="V99" s="1201"/>
      <c r="W99" s="1201"/>
      <c r="X99" s="1201"/>
      <c r="Y99" s="1201"/>
      <c r="Z99" s="1201"/>
    </row>
    <row r="100" spans="1:26" s="895" customFormat="1" ht="16.5" customHeight="1" x14ac:dyDescent="0.2">
      <c r="A100" s="919"/>
      <c r="G100" s="1201"/>
      <c r="H100" s="1201"/>
      <c r="I100" s="1201"/>
      <c r="J100" s="1201"/>
      <c r="K100" s="1201"/>
      <c r="L100" s="1201"/>
      <c r="M100" s="1201"/>
      <c r="N100" s="1201"/>
      <c r="O100" s="1201"/>
      <c r="P100" s="1201"/>
      <c r="Q100" s="1201"/>
      <c r="R100" s="1201"/>
      <c r="S100" s="1201"/>
      <c r="T100" s="1201"/>
      <c r="U100" s="1201"/>
      <c r="V100" s="1201"/>
      <c r="W100" s="1201"/>
      <c r="X100" s="1201"/>
      <c r="Y100" s="1201"/>
      <c r="Z100" s="1201"/>
    </row>
    <row r="101" spans="1:26" s="895" customFormat="1" ht="16.5" customHeight="1" x14ac:dyDescent="0.2">
      <c r="A101" s="919"/>
      <c r="G101" s="1201"/>
      <c r="H101" s="1201"/>
      <c r="I101" s="1201"/>
      <c r="J101" s="1201"/>
      <c r="K101" s="1201"/>
      <c r="L101" s="1201"/>
      <c r="M101" s="1201"/>
      <c r="N101" s="1201"/>
      <c r="O101" s="1201"/>
      <c r="P101" s="1201"/>
      <c r="Q101" s="1201"/>
      <c r="R101" s="1201"/>
      <c r="S101" s="1201"/>
      <c r="T101" s="1201"/>
      <c r="U101" s="1201"/>
      <c r="V101" s="1201"/>
      <c r="W101" s="1201"/>
      <c r="X101" s="1201"/>
      <c r="Y101" s="1201"/>
      <c r="Z101" s="1201"/>
    </row>
    <row r="102" spans="1:26" s="895" customFormat="1" ht="16.5" customHeight="1" x14ac:dyDescent="0.2">
      <c r="A102" s="919"/>
      <c r="G102" s="1201"/>
      <c r="H102" s="1201"/>
      <c r="I102" s="1201"/>
      <c r="J102" s="1201"/>
      <c r="K102" s="1201"/>
      <c r="L102" s="1201"/>
      <c r="M102" s="1201"/>
      <c r="N102" s="1201"/>
      <c r="O102" s="1201"/>
      <c r="P102" s="1201"/>
      <c r="Q102" s="1201"/>
      <c r="R102" s="1201"/>
      <c r="S102" s="1201"/>
      <c r="T102" s="1201"/>
      <c r="U102" s="1201"/>
      <c r="V102" s="1201"/>
      <c r="W102" s="1201"/>
      <c r="X102" s="1201"/>
      <c r="Y102" s="1201"/>
      <c r="Z102" s="1201"/>
    </row>
    <row r="103" spans="1:26" s="895" customFormat="1" ht="16.5" customHeight="1" x14ac:dyDescent="0.2">
      <c r="A103" s="919"/>
      <c r="G103" s="1201"/>
      <c r="H103" s="1201"/>
      <c r="I103" s="1201"/>
      <c r="J103" s="1201"/>
      <c r="K103" s="1201"/>
      <c r="L103" s="1201"/>
      <c r="M103" s="1201"/>
      <c r="N103" s="1201"/>
      <c r="O103" s="1201"/>
      <c r="P103" s="1201"/>
      <c r="Q103" s="1201"/>
      <c r="R103" s="1201"/>
      <c r="S103" s="1201"/>
      <c r="T103" s="1201"/>
      <c r="U103" s="1201"/>
      <c r="V103" s="1201"/>
      <c r="W103" s="1201"/>
      <c r="X103" s="1201"/>
      <c r="Y103" s="1201"/>
      <c r="Z103" s="1201"/>
    </row>
    <row r="104" spans="1:26" s="895" customFormat="1" ht="16.5" customHeight="1" x14ac:dyDescent="0.2">
      <c r="A104" s="919"/>
      <c r="G104" s="1201"/>
      <c r="H104" s="1201"/>
      <c r="I104" s="1201"/>
      <c r="J104" s="1201"/>
      <c r="K104" s="1201"/>
      <c r="L104" s="1201"/>
      <c r="M104" s="1201"/>
      <c r="N104" s="1201"/>
      <c r="O104" s="1201"/>
      <c r="P104" s="1201"/>
      <c r="Q104" s="1201"/>
      <c r="R104" s="1201"/>
      <c r="S104" s="1201"/>
      <c r="T104" s="1201"/>
      <c r="U104" s="1201"/>
      <c r="V104" s="1201"/>
      <c r="W104" s="1201"/>
      <c r="X104" s="1201"/>
      <c r="Y104" s="1201"/>
      <c r="Z104" s="1201"/>
    </row>
    <row r="105" spans="1:26" s="895" customFormat="1" ht="16.5" customHeight="1" x14ac:dyDescent="0.2">
      <c r="A105" s="919"/>
      <c r="G105" s="1201"/>
      <c r="H105" s="1201"/>
      <c r="I105" s="1201"/>
      <c r="J105" s="1201"/>
      <c r="K105" s="1201"/>
      <c r="L105" s="1201"/>
      <c r="M105" s="1201"/>
      <c r="N105" s="1201"/>
      <c r="O105" s="1201"/>
      <c r="P105" s="1201"/>
      <c r="Q105" s="1201"/>
      <c r="R105" s="1201"/>
      <c r="S105" s="1201"/>
      <c r="T105" s="1201"/>
      <c r="U105" s="1201"/>
      <c r="V105" s="1201"/>
      <c r="W105" s="1201"/>
      <c r="X105" s="1201"/>
      <c r="Y105" s="1201"/>
      <c r="Z105" s="1201"/>
    </row>
    <row r="106" spans="1:26" s="895" customFormat="1" ht="16.5" customHeight="1" x14ac:dyDescent="0.2">
      <c r="A106" s="919"/>
      <c r="G106" s="1201"/>
      <c r="H106" s="1201"/>
      <c r="I106" s="1201"/>
      <c r="J106" s="1201"/>
      <c r="K106" s="1201"/>
      <c r="L106" s="1201"/>
      <c r="M106" s="1201"/>
      <c r="N106" s="1201"/>
      <c r="O106" s="1201"/>
      <c r="P106" s="1201"/>
      <c r="Q106" s="1201"/>
      <c r="R106" s="1201"/>
      <c r="S106" s="1201"/>
      <c r="T106" s="1201"/>
      <c r="U106" s="1201"/>
      <c r="V106" s="1201"/>
      <c r="W106" s="1201"/>
      <c r="X106" s="1201"/>
      <c r="Y106" s="1201"/>
      <c r="Z106" s="1201"/>
    </row>
    <row r="107" spans="1:26" s="895" customFormat="1" ht="16.5" customHeight="1" x14ac:dyDescent="0.2">
      <c r="A107" s="919" t="s">
        <v>897</v>
      </c>
      <c r="G107" s="1201"/>
      <c r="H107" s="1201"/>
      <c r="I107" s="1201"/>
      <c r="J107" s="1201"/>
      <c r="K107" s="1201"/>
      <c r="L107" s="1201"/>
      <c r="M107" s="1201"/>
      <c r="N107" s="1201"/>
      <c r="O107" s="1201"/>
      <c r="P107" s="1201"/>
      <c r="Q107" s="1201"/>
      <c r="R107" s="1201"/>
      <c r="S107" s="1201"/>
      <c r="T107" s="1201"/>
      <c r="U107" s="1201"/>
      <c r="V107" s="1201"/>
      <c r="W107" s="1201"/>
      <c r="X107" s="1201"/>
      <c r="Y107" s="1201"/>
      <c r="Z107" s="1201"/>
    </row>
    <row r="108" spans="1:26" s="725" customFormat="1" ht="9" customHeight="1" x14ac:dyDescent="0.2"/>
    <row r="109" spans="1:26" s="910" customFormat="1" ht="16.5" customHeight="1" x14ac:dyDescent="0.2">
      <c r="A109" s="899" t="s">
        <v>892</v>
      </c>
    </row>
    <row r="110" spans="1:26" s="857" customFormat="1" ht="16.5" customHeight="1" x14ac:dyDescent="0.2">
      <c r="A110" s="41" t="s">
        <v>815</v>
      </c>
      <c r="B110" s="759"/>
      <c r="C110" s="759"/>
      <c r="D110" s="759"/>
      <c r="E110" s="759"/>
      <c r="F110" s="759"/>
      <c r="G110" s="677"/>
      <c r="H110" s="677"/>
      <c r="I110" s="1169"/>
      <c r="J110" s="1169"/>
      <c r="K110" s="1169"/>
      <c r="L110" s="1169"/>
      <c r="M110" s="1169"/>
      <c r="N110" s="1169"/>
      <c r="O110" s="1169"/>
      <c r="P110" s="1169"/>
      <c r="Q110" s="1169"/>
      <c r="R110" s="1169"/>
      <c r="S110" s="1169"/>
      <c r="T110" s="1169"/>
      <c r="U110" s="1169"/>
      <c r="V110" s="1169"/>
      <c r="W110" s="1169"/>
      <c r="X110" s="1169"/>
      <c r="Y110" s="1169"/>
      <c r="Z110" s="1169"/>
    </row>
    <row r="111" spans="1:26" ht="16.5" customHeight="1" x14ac:dyDescent="0.2">
      <c r="A111" s="32" t="s">
        <v>895</v>
      </c>
      <c r="B111" s="736"/>
      <c r="C111" s="736"/>
      <c r="D111" s="736"/>
      <c r="E111" s="736"/>
      <c r="F111" s="736"/>
      <c r="G111" s="718"/>
      <c r="H111" s="718"/>
    </row>
    <row r="112" spans="1:26" s="857" customFormat="1" ht="16.5" customHeight="1" x14ac:dyDescent="0.2">
      <c r="A112" s="41" t="s">
        <v>816</v>
      </c>
      <c r="B112" s="759"/>
      <c r="C112" s="759"/>
      <c r="D112" s="759"/>
      <c r="E112" s="759"/>
      <c r="F112" s="759"/>
      <c r="G112" s="677"/>
      <c r="H112" s="912"/>
      <c r="I112" s="1169"/>
      <c r="J112" s="1169"/>
      <c r="K112" s="1169"/>
      <c r="L112" s="1169"/>
      <c r="M112" s="1169"/>
      <c r="N112" s="1169"/>
      <c r="O112" s="1169"/>
      <c r="P112" s="1169"/>
      <c r="Q112" s="1169"/>
      <c r="R112" s="1169"/>
      <c r="S112" s="1169"/>
      <c r="T112" s="1169"/>
      <c r="U112" s="1169"/>
      <c r="V112" s="1169"/>
      <c r="W112" s="1169"/>
      <c r="X112" s="1169"/>
      <c r="Y112" s="1169"/>
      <c r="Z112" s="1169"/>
    </row>
    <row r="113" spans="1:8" s="687" customFormat="1" ht="16.5" customHeight="1" thickBot="1" x14ac:dyDescent="0.25">
      <c r="A113" s="890" t="s">
        <v>778</v>
      </c>
      <c r="B113" s="37">
        <f>SUM(B110:B112)</f>
        <v>0</v>
      </c>
      <c r="C113" s="37">
        <f>SUM(C110:C112)</f>
        <v>0</v>
      </c>
      <c r="D113" s="37">
        <f>SUM(D110:D112)</f>
        <v>0</v>
      </c>
      <c r="E113" s="37">
        <f>SUM(E110:E112)</f>
        <v>0</v>
      </c>
      <c r="F113" s="37">
        <f>SUM(F110:F112)</f>
        <v>0</v>
      </c>
      <c r="G113" s="727"/>
      <c r="H113" s="727"/>
    </row>
    <row r="114" spans="1:8" s="683" customFormat="1" ht="16.5" customHeight="1" x14ac:dyDescent="0.2">
      <c r="G114" s="677"/>
      <c r="H114" s="677"/>
    </row>
  </sheetData>
  <mergeCells count="1">
    <mergeCell ref="G14:L17"/>
  </mergeCells>
  <phoneticPr fontId="137" type="noConversion"/>
  <pageMargins left="0.7" right="0.7" top="0.75" bottom="0.75" header="0.3" footer="0.3"/>
  <legacyDrawing r:id="rId1"/>
  <extLst>
    <ext xmlns:mx="http://schemas.microsoft.com/office/mac/excel/2008/main" uri="http://schemas.microsoft.com/office/mac/excel/2008/main">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800080"/>
  </sheetPr>
  <dimension ref="A1:Z25"/>
  <sheetViews>
    <sheetView workbookViewId="0">
      <selection activeCell="A13" sqref="A13"/>
    </sheetView>
  </sheetViews>
  <sheetFormatPr defaultColWidth="9.140625" defaultRowHeight="16.5" customHeight="1" x14ac:dyDescent="0.2"/>
  <cols>
    <col min="1" max="1" width="55.5703125" style="682" customWidth="1"/>
    <col min="2" max="256" width="8.5703125" style="682" customWidth="1"/>
    <col min="257" max="16384" width="9.140625" style="682"/>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1008"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857" customFormat="1" ht="16.5" customHeight="1" x14ac:dyDescent="0.2">
      <c r="G7" s="1169"/>
      <c r="H7" s="1169"/>
      <c r="I7" s="1169"/>
      <c r="J7" s="1169"/>
      <c r="K7" s="1169"/>
      <c r="L7" s="1169"/>
      <c r="M7" s="1169"/>
      <c r="N7" s="1169"/>
      <c r="O7" s="1169"/>
      <c r="P7" s="1169"/>
      <c r="Q7" s="1169"/>
      <c r="R7" s="1169"/>
      <c r="S7" s="1169"/>
      <c r="T7" s="1169"/>
      <c r="U7" s="1169"/>
      <c r="V7" s="1169"/>
      <c r="W7" s="1169"/>
      <c r="X7" s="1169"/>
      <c r="Y7" s="1169"/>
      <c r="Z7" s="1169"/>
    </row>
    <row r="8" spans="1:26" s="710" customFormat="1" ht="16.5" customHeight="1" x14ac:dyDescent="0.2">
      <c r="A8" s="891" t="s">
        <v>823</v>
      </c>
    </row>
    <row r="9" spans="1:26" s="857" customFormat="1" ht="9" customHeight="1" x14ac:dyDescent="0.2">
      <c r="G9" s="1169"/>
      <c r="H9" s="1169"/>
      <c r="I9" s="1169"/>
      <c r="J9" s="1169"/>
      <c r="K9" s="1169"/>
      <c r="L9" s="1169"/>
      <c r="M9" s="1169"/>
      <c r="N9" s="1169"/>
      <c r="O9" s="1169"/>
      <c r="P9" s="1169"/>
      <c r="Q9" s="1169"/>
      <c r="R9" s="1169"/>
      <c r="S9" s="1169"/>
      <c r="T9" s="1169"/>
      <c r="U9" s="1169"/>
      <c r="V9" s="1169"/>
      <c r="W9" s="1169"/>
      <c r="X9" s="1169"/>
      <c r="Y9" s="1169"/>
      <c r="Z9" s="1169"/>
    </row>
    <row r="10" spans="1:26" s="857" customFormat="1" ht="16.5" customHeight="1" x14ac:dyDescent="0.2">
      <c r="A10" s="246" t="s">
        <v>241</v>
      </c>
      <c r="B10" s="50" t="s">
        <v>493</v>
      </c>
      <c r="C10" s="50"/>
      <c r="D10" s="50"/>
      <c r="E10" s="50"/>
      <c r="F10" s="50"/>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857" customFormat="1" ht="16.5" customHeight="1" x14ac:dyDescent="0.2">
      <c r="B11" s="644">
        <f>'BS Analysis Adjustments'!B1</f>
        <v>2011</v>
      </c>
      <c r="C11" s="644">
        <f>'BS Analysis Adjustments'!L1</f>
        <v>2012</v>
      </c>
      <c r="D11" s="644">
        <f>'BS Analysis Adjustments'!V1</f>
        <v>2013</v>
      </c>
      <c r="E11" s="644">
        <f>'BS Analysis Adjustments'!AF1</f>
        <v>2014</v>
      </c>
      <c r="F11" s="644">
        <f>'BS Analysis Adjustments'!AP1</f>
        <v>2015</v>
      </c>
      <c r="G11" s="1169"/>
      <c r="H11" s="1169"/>
      <c r="I11" s="1169"/>
      <c r="J11" s="1169"/>
      <c r="K11" s="1169"/>
      <c r="L11" s="1169"/>
      <c r="M11" s="1169"/>
      <c r="N11" s="1169"/>
      <c r="O11" s="1169"/>
      <c r="P11" s="1169"/>
      <c r="Q11" s="1169"/>
      <c r="R11" s="1169"/>
      <c r="S11" s="1169"/>
      <c r="T11" s="1169"/>
      <c r="U11" s="1169"/>
      <c r="V11" s="1169"/>
      <c r="W11" s="1169"/>
      <c r="X11" s="1169"/>
      <c r="Y11" s="1169"/>
      <c r="Z11" s="1169"/>
    </row>
    <row r="12" spans="1:26" s="920" customFormat="1" ht="16.5" customHeight="1" x14ac:dyDescent="0.2">
      <c r="A12" s="921" t="s">
        <v>416</v>
      </c>
      <c r="G12" s="1193"/>
      <c r="H12" s="1193"/>
      <c r="I12" s="1193"/>
      <c r="J12" s="1193"/>
      <c r="K12" s="1193"/>
      <c r="L12" s="1193"/>
      <c r="M12" s="1193"/>
      <c r="N12" s="1193"/>
      <c r="O12" s="1193"/>
      <c r="P12" s="1193"/>
      <c r="Q12" s="1193"/>
      <c r="R12" s="1193"/>
      <c r="S12" s="1193"/>
      <c r="T12" s="1193"/>
      <c r="U12" s="1193"/>
      <c r="V12" s="1193"/>
      <c r="W12" s="1193"/>
      <c r="X12" s="1193"/>
      <c r="Y12" s="1193"/>
      <c r="Z12" s="1193"/>
    </row>
    <row r="13" spans="1:26" s="895" customFormat="1" ht="16.5" customHeight="1" x14ac:dyDescent="0.2">
      <c r="A13" s="919"/>
      <c r="G13" s="1201"/>
      <c r="H13" s="1201"/>
      <c r="I13" s="1201"/>
      <c r="J13" s="1201"/>
      <c r="K13" s="1201"/>
      <c r="L13" s="1201"/>
      <c r="M13" s="1201"/>
      <c r="N13" s="1201"/>
      <c r="O13" s="1201"/>
      <c r="P13" s="1201"/>
      <c r="Q13" s="1201"/>
      <c r="R13" s="1201"/>
      <c r="S13" s="1201"/>
      <c r="T13" s="1201"/>
      <c r="U13" s="1201"/>
      <c r="V13" s="1201"/>
      <c r="W13" s="1201"/>
      <c r="X13" s="1201"/>
      <c r="Y13" s="1201"/>
      <c r="Z13" s="1201"/>
    </row>
    <row r="14" spans="1:26" s="895" customFormat="1" ht="16.5" customHeight="1" x14ac:dyDescent="0.2">
      <c r="A14" s="919"/>
      <c r="G14" s="1201"/>
      <c r="H14" s="1201"/>
      <c r="I14" s="1201"/>
      <c r="J14" s="1201"/>
      <c r="K14" s="1201"/>
      <c r="L14" s="1201"/>
      <c r="M14" s="1201"/>
      <c r="N14" s="1201"/>
      <c r="O14" s="1201"/>
      <c r="P14" s="1201"/>
      <c r="Q14" s="1201"/>
      <c r="R14" s="1201"/>
      <c r="S14" s="1201"/>
      <c r="T14" s="1201"/>
      <c r="U14" s="1201"/>
      <c r="V14" s="1201"/>
      <c r="W14" s="1201"/>
      <c r="X14" s="1201"/>
      <c r="Y14" s="1201"/>
      <c r="Z14" s="1201"/>
    </row>
    <row r="15" spans="1:26" s="895" customFormat="1" ht="16.5" customHeight="1" x14ac:dyDescent="0.2">
      <c r="A15" s="919"/>
      <c r="G15" s="1201"/>
      <c r="H15" s="1201"/>
      <c r="I15" s="1201"/>
      <c r="J15" s="1201"/>
      <c r="K15" s="1201"/>
      <c r="L15" s="1201"/>
      <c r="M15" s="1201"/>
      <c r="N15" s="1201"/>
      <c r="O15" s="1201"/>
      <c r="P15" s="1201"/>
      <c r="Q15" s="1201"/>
      <c r="R15" s="1201"/>
      <c r="S15" s="1201"/>
      <c r="T15" s="1201"/>
      <c r="U15" s="1201"/>
      <c r="V15" s="1201"/>
      <c r="W15" s="1201"/>
      <c r="X15" s="1201"/>
      <c r="Y15" s="1201"/>
      <c r="Z15" s="1201"/>
    </row>
    <row r="16" spans="1:26" s="895" customFormat="1" ht="16.5" customHeight="1" x14ac:dyDescent="0.2">
      <c r="A16" s="919"/>
      <c r="G16" s="1201"/>
      <c r="H16" s="1201"/>
      <c r="I16" s="1201"/>
      <c r="J16" s="1201"/>
      <c r="K16" s="1201"/>
      <c r="L16" s="1201"/>
      <c r="M16" s="1201"/>
      <c r="N16" s="1201"/>
      <c r="O16" s="1201"/>
      <c r="P16" s="1201"/>
      <c r="Q16" s="1201"/>
      <c r="R16" s="1201"/>
      <c r="S16" s="1201"/>
      <c r="T16" s="1201"/>
      <c r="U16" s="1201"/>
      <c r="V16" s="1201"/>
      <c r="W16" s="1201"/>
      <c r="X16" s="1201"/>
      <c r="Y16" s="1201"/>
      <c r="Z16" s="1201"/>
    </row>
    <row r="17" spans="1:26" s="895" customFormat="1" ht="16.5" customHeight="1" x14ac:dyDescent="0.2">
      <c r="A17" s="919"/>
      <c r="G17" s="1201"/>
      <c r="H17" s="1201"/>
      <c r="I17" s="1201"/>
      <c r="J17" s="1201"/>
      <c r="K17" s="1201"/>
      <c r="L17" s="1201"/>
      <c r="M17" s="1201"/>
      <c r="N17" s="1201"/>
      <c r="O17" s="1201"/>
      <c r="P17" s="1201"/>
      <c r="Q17" s="1201"/>
      <c r="R17" s="1201"/>
      <c r="S17" s="1201"/>
      <c r="T17" s="1201"/>
      <c r="U17" s="1201"/>
      <c r="V17" s="1201"/>
      <c r="W17" s="1201"/>
      <c r="X17" s="1201"/>
      <c r="Y17" s="1201"/>
      <c r="Z17" s="1201"/>
    </row>
    <row r="18" spans="1:26" s="895" customFormat="1" ht="16.5" customHeight="1" x14ac:dyDescent="0.2">
      <c r="A18" s="919"/>
      <c r="G18" s="1201"/>
      <c r="H18" s="1201"/>
      <c r="I18" s="1201"/>
      <c r="J18" s="1201"/>
      <c r="K18" s="1201"/>
      <c r="L18" s="1201"/>
      <c r="M18" s="1201"/>
      <c r="N18" s="1201"/>
      <c r="O18" s="1201"/>
      <c r="P18" s="1201"/>
      <c r="Q18" s="1201"/>
      <c r="R18" s="1201"/>
      <c r="S18" s="1201"/>
      <c r="T18" s="1201"/>
      <c r="U18" s="1201"/>
      <c r="V18" s="1201"/>
      <c r="W18" s="1201"/>
      <c r="X18" s="1201"/>
      <c r="Y18" s="1201"/>
      <c r="Z18" s="1201"/>
    </row>
    <row r="19" spans="1:26" s="895" customFormat="1" ht="16.5" customHeight="1" x14ac:dyDescent="0.2">
      <c r="A19" s="919" t="s">
        <v>897</v>
      </c>
      <c r="G19" s="1201"/>
      <c r="H19" s="1201"/>
      <c r="I19" s="1201"/>
      <c r="J19" s="1201"/>
      <c r="K19" s="1201"/>
      <c r="L19" s="1201"/>
      <c r="M19" s="1201"/>
      <c r="N19" s="1201"/>
      <c r="O19" s="1201"/>
      <c r="P19" s="1201"/>
      <c r="Q19" s="1201"/>
      <c r="R19" s="1201"/>
      <c r="S19" s="1201"/>
      <c r="T19" s="1201"/>
      <c r="U19" s="1201"/>
      <c r="V19" s="1201"/>
      <c r="W19" s="1201"/>
      <c r="X19" s="1201"/>
      <c r="Y19" s="1201"/>
      <c r="Z19" s="1201"/>
    </row>
    <row r="20" spans="1:26" s="725" customFormat="1" ht="9" customHeight="1" x14ac:dyDescent="0.2"/>
    <row r="21" spans="1:26" s="910" customFormat="1" ht="16.5" customHeight="1" x14ac:dyDescent="0.2">
      <c r="A21" s="899" t="s">
        <v>892</v>
      </c>
    </row>
    <row r="22" spans="1:26" s="683" customFormat="1" ht="16.5" customHeight="1" x14ac:dyDescent="0.2">
      <c r="A22" s="871" t="s">
        <v>898</v>
      </c>
      <c r="B22" s="871">
        <v>160</v>
      </c>
      <c r="C22" s="871">
        <v>160</v>
      </c>
      <c r="D22" s="871">
        <v>160</v>
      </c>
      <c r="E22" s="871">
        <v>160</v>
      </c>
      <c r="F22" s="871">
        <v>160</v>
      </c>
    </row>
    <row r="23" spans="1:26" ht="16.5" customHeight="1" x14ac:dyDescent="0.2">
      <c r="A23" s="736" t="s">
        <v>951</v>
      </c>
      <c r="B23" s="736">
        <v>-160</v>
      </c>
      <c r="C23" s="736">
        <v>-160</v>
      </c>
      <c r="D23" s="736">
        <v>-160</v>
      </c>
      <c r="E23" s="736">
        <v>-160</v>
      </c>
      <c r="F23" s="736">
        <v>-160</v>
      </c>
    </row>
    <row r="24" spans="1:26" s="687" customFormat="1" ht="16.5" customHeight="1" thickBot="1" x14ac:dyDescent="0.25">
      <c r="A24" s="890" t="s">
        <v>773</v>
      </c>
      <c r="B24" s="37">
        <f>SUM(B22:B23)</f>
        <v>0</v>
      </c>
      <c r="C24" s="37">
        <f>SUM(C22:C23)</f>
        <v>0</v>
      </c>
      <c r="D24" s="37">
        <f>SUM(D22:D23)</f>
        <v>0</v>
      </c>
      <c r="E24" s="37">
        <f>SUM(E22:E23)</f>
        <v>0</v>
      </c>
      <c r="F24" s="37">
        <f>SUM(F22:F23)</f>
        <v>0</v>
      </c>
    </row>
    <row r="25" spans="1:26" s="683" customFormat="1" ht="16.5" customHeight="1" x14ac:dyDescent="0.2"/>
  </sheetData>
  <pageMargins left="0.7" right="0.7" top="0.75" bottom="0.75" header="0.3" footer="0.3"/>
  <legacyDrawing r:id="rId1"/>
  <extLst>
    <ext xmlns:mx="http://schemas.microsoft.com/office/mac/excel/2008/main" uri="http://schemas.microsoft.com/office/mac/excel/2008/main">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6600"/>
  </sheetPr>
  <dimension ref="A1:Z28"/>
  <sheetViews>
    <sheetView workbookViewId="0">
      <selection activeCell="I16" sqref="I16"/>
    </sheetView>
  </sheetViews>
  <sheetFormatPr defaultColWidth="9.140625" defaultRowHeight="16.5" customHeight="1" x14ac:dyDescent="0.2"/>
  <cols>
    <col min="1" max="1" width="55.5703125" style="682" customWidth="1"/>
    <col min="2" max="6" width="9.140625" style="682"/>
    <col min="7" max="256" width="8.5703125" style="682" customWidth="1"/>
    <col min="257" max="16384" width="9.140625" style="682"/>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1008"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710" customFormat="1" ht="16.5" customHeight="1" x14ac:dyDescent="0.2">
      <c r="A7" s="891" t="s">
        <v>824</v>
      </c>
    </row>
    <row r="8" spans="1:26" s="857" customFormat="1" ht="9" customHeight="1" x14ac:dyDescent="0.2">
      <c r="G8" s="1169"/>
      <c r="H8" s="1169"/>
      <c r="I8" s="1169"/>
      <c r="J8" s="1169"/>
      <c r="K8" s="1169"/>
      <c r="L8" s="1169"/>
      <c r="M8" s="1169"/>
      <c r="N8" s="1169"/>
      <c r="O8" s="1169"/>
      <c r="P8" s="1169"/>
      <c r="Q8" s="1169"/>
      <c r="R8" s="1169"/>
      <c r="S8" s="1169"/>
      <c r="T8" s="1169"/>
      <c r="U8" s="1169"/>
      <c r="V8" s="1169"/>
      <c r="W8" s="1169"/>
      <c r="X8" s="1169"/>
      <c r="Y8" s="1169"/>
      <c r="Z8" s="1169"/>
    </row>
    <row r="9" spans="1:26" s="857" customFormat="1" ht="16.5" customHeight="1" x14ac:dyDescent="0.2">
      <c r="A9" s="246" t="s">
        <v>241</v>
      </c>
      <c r="B9" s="50" t="s">
        <v>493</v>
      </c>
      <c r="C9" s="50"/>
      <c r="D9" s="50"/>
      <c r="E9" s="50"/>
      <c r="F9" s="50"/>
      <c r="G9" s="1169"/>
      <c r="H9" s="1169"/>
      <c r="I9" s="1169"/>
      <c r="J9" s="1169"/>
      <c r="K9" s="1169"/>
      <c r="L9" s="1169"/>
      <c r="M9" s="1169"/>
      <c r="N9" s="1169"/>
      <c r="O9" s="1169"/>
      <c r="P9" s="1169"/>
      <c r="Q9" s="1169"/>
      <c r="R9" s="1169"/>
      <c r="S9" s="1169"/>
      <c r="T9" s="1169"/>
      <c r="U9" s="1169"/>
      <c r="V9" s="1169"/>
      <c r="W9" s="1169"/>
      <c r="X9" s="1169"/>
      <c r="Y9" s="1169"/>
      <c r="Z9" s="1169"/>
    </row>
    <row r="10" spans="1:26" s="857" customFormat="1" ht="16.5" customHeight="1" x14ac:dyDescent="0.2">
      <c r="B10" s="644">
        <f>'BS Analysis Adjustments'!B1</f>
        <v>2011</v>
      </c>
      <c r="C10" s="644">
        <f>'BS Analysis Adjustments'!L1</f>
        <v>2012</v>
      </c>
      <c r="D10" s="644">
        <f>'BS Analysis Adjustments'!V1</f>
        <v>2013</v>
      </c>
      <c r="E10" s="644">
        <f>'BS Analysis Adjustments'!AF1</f>
        <v>2014</v>
      </c>
      <c r="F10" s="644">
        <f>'BS Analysis Adjustments'!AP1</f>
        <v>2015</v>
      </c>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931" customFormat="1" ht="16.5" customHeight="1" x14ac:dyDescent="0.2">
      <c r="A11" s="933" t="s">
        <v>775</v>
      </c>
      <c r="B11" s="900"/>
      <c r="C11" s="900"/>
    </row>
    <row r="12" spans="1:26" ht="16.5" customHeight="1" x14ac:dyDescent="0.2">
      <c r="A12" s="32" t="s">
        <v>863</v>
      </c>
      <c r="B12" s="92">
        <f>'IS Analysis Adjustments'!B26</f>
        <v>1119</v>
      </c>
      <c r="C12" s="92">
        <f>'IS Analysis Adjustments'!L26</f>
        <v>1185</v>
      </c>
      <c r="D12" s="92">
        <f>'IS Analysis Adjustments'!V26</f>
        <v>1189</v>
      </c>
      <c r="E12" s="92">
        <f>'IS Analysis Adjustments'!AF26</f>
        <v>1185</v>
      </c>
      <c r="F12" s="92">
        <f>'IS Analysis Adjustments'!AP26</f>
        <v>976</v>
      </c>
    </row>
    <row r="13" spans="1:26" s="857" customFormat="1" ht="16.5" customHeight="1" x14ac:dyDescent="0.2">
      <c r="A13" s="41" t="s">
        <v>864</v>
      </c>
      <c r="B13" s="92">
        <f>'IS Analysis Adjustments'!B27</f>
        <v>436</v>
      </c>
      <c r="C13" s="92">
        <f>'IS Analysis Adjustments'!L27</f>
        <v>450</v>
      </c>
      <c r="D13" s="92">
        <f>'IS Analysis Adjustments'!V27</f>
        <v>455</v>
      </c>
      <c r="E13" s="92">
        <f>'IS Analysis Adjustments'!AF27</f>
        <v>465</v>
      </c>
      <c r="F13" s="92">
        <f>'IS Analysis Adjustments'!AP27</f>
        <v>376</v>
      </c>
      <c r="G13" s="1169"/>
      <c r="H13" s="1169"/>
      <c r="I13" s="1169"/>
      <c r="J13" s="1169"/>
      <c r="K13" s="1169"/>
      <c r="L13" s="1169"/>
      <c r="M13" s="1169"/>
      <c r="N13" s="1169"/>
      <c r="O13" s="1169"/>
      <c r="P13" s="1169"/>
      <c r="Q13" s="1169"/>
      <c r="R13" s="1169"/>
      <c r="S13" s="1169"/>
      <c r="T13" s="1169"/>
      <c r="U13" s="1169"/>
      <c r="V13" s="1169"/>
      <c r="W13" s="1169"/>
      <c r="X13" s="1169"/>
      <c r="Y13" s="1169"/>
      <c r="Z13" s="1169"/>
    </row>
    <row r="14" spans="1:26" s="930" customFormat="1" ht="16.5" customHeight="1" x14ac:dyDescent="0.2">
      <c r="A14" s="929" t="s">
        <v>337</v>
      </c>
      <c r="B14" s="889">
        <f>B13/B12</f>
        <v>0.3896336014298481</v>
      </c>
      <c r="C14" s="889">
        <f>C13/C12</f>
        <v>0.379746835443038</v>
      </c>
      <c r="D14" s="889">
        <f>D13/D12</f>
        <v>0.3826745164003364</v>
      </c>
      <c r="E14" s="889">
        <f>E13/E12</f>
        <v>0.39240506329113922</v>
      </c>
      <c r="F14" s="889">
        <f>F13/F12</f>
        <v>0.38524590163934425</v>
      </c>
    </row>
    <row r="15" spans="1:26" s="677" customFormat="1" ht="6" customHeight="1" x14ac:dyDescent="0.2">
      <c r="A15" s="797"/>
      <c r="B15" s="924"/>
      <c r="C15" s="924"/>
      <c r="D15" s="924"/>
      <c r="E15" s="924"/>
      <c r="F15" s="924"/>
      <c r="H15" s="925"/>
      <c r="I15" s="926"/>
    </row>
    <row r="16" spans="1:26" s="914" customFormat="1" ht="16.5" customHeight="1" x14ac:dyDescent="0.2">
      <c r="A16" s="81" t="s">
        <v>819</v>
      </c>
      <c r="B16" s="1246">
        <v>7</v>
      </c>
      <c r="C16" s="1246">
        <v>5</v>
      </c>
      <c r="D16" s="1246">
        <v>14</v>
      </c>
      <c r="E16" s="1246">
        <v>17</v>
      </c>
      <c r="F16" s="1246">
        <v>28</v>
      </c>
    </row>
    <row r="17" spans="1:26" s="916" customFormat="1" ht="16.5" customHeight="1" x14ac:dyDescent="0.2">
      <c r="A17" s="66" t="s">
        <v>820</v>
      </c>
      <c r="B17" s="290">
        <f>B16</f>
        <v>7</v>
      </c>
      <c r="C17" s="290">
        <f>C16</f>
        <v>5</v>
      </c>
      <c r="D17" s="290">
        <f>D16</f>
        <v>14</v>
      </c>
      <c r="E17" s="290">
        <f>E16</f>
        <v>17</v>
      </c>
      <c r="F17" s="290">
        <f>F16</f>
        <v>28</v>
      </c>
    </row>
    <row r="18" spans="1:26" s="718" customFormat="1" ht="16.5" customHeight="1" x14ac:dyDescent="0.2">
      <c r="A18" s="32" t="s">
        <v>821</v>
      </c>
      <c r="B18" s="92">
        <f>ROUND(B17*B14,0)</f>
        <v>3</v>
      </c>
      <c r="C18" s="92">
        <f>ROUND(C17*C14,0)</f>
        <v>2</v>
      </c>
      <c r="D18" s="92">
        <f>ROUND(D17*D14,0)</f>
        <v>5</v>
      </c>
      <c r="E18" s="92">
        <f>ROUND(E17*E14,0)</f>
        <v>7</v>
      </c>
      <c r="F18" s="92">
        <f>ROUND(F17*F14,0)</f>
        <v>11</v>
      </c>
    </row>
    <row r="19" spans="1:26" s="687" customFormat="1" ht="16.5" customHeight="1" thickBot="1" x14ac:dyDescent="0.25">
      <c r="A19" s="105" t="s">
        <v>822</v>
      </c>
      <c r="B19" s="943">
        <f>B17-B18</f>
        <v>4</v>
      </c>
      <c r="C19" s="943">
        <f>C17-C18</f>
        <v>3</v>
      </c>
      <c r="D19" s="943">
        <f>D17-D18</f>
        <v>9</v>
      </c>
      <c r="E19" s="943">
        <f>E17-E18</f>
        <v>10</v>
      </c>
      <c r="F19" s="943">
        <f>F17-F18</f>
        <v>17</v>
      </c>
    </row>
    <row r="20" spans="1:26" s="857" customFormat="1" ht="9" customHeight="1" x14ac:dyDescent="0.2">
      <c r="G20" s="1169"/>
      <c r="H20" s="917"/>
      <c r="I20" s="918"/>
      <c r="J20" s="1169"/>
      <c r="K20" s="1169"/>
      <c r="L20" s="1169"/>
      <c r="M20" s="1169"/>
      <c r="N20" s="1169"/>
      <c r="O20" s="1169"/>
      <c r="P20" s="1169"/>
      <c r="Q20" s="1169"/>
      <c r="R20" s="1169"/>
      <c r="S20" s="1169"/>
      <c r="T20" s="1169"/>
      <c r="U20" s="1169"/>
      <c r="V20" s="1169"/>
      <c r="W20" s="1169"/>
      <c r="X20" s="1169"/>
      <c r="Y20" s="1169"/>
      <c r="Z20" s="1169"/>
    </row>
    <row r="21" spans="1:26" s="819" customFormat="1" ht="16.5" customHeight="1" x14ac:dyDescent="0.2">
      <c r="A21" s="898" t="s">
        <v>891</v>
      </c>
    </row>
    <row r="22" spans="1:26" s="683" customFormat="1" ht="16.5" customHeight="1" x14ac:dyDescent="0.2">
      <c r="A22" s="33" t="s">
        <v>868</v>
      </c>
      <c r="B22" s="66">
        <f>B17</f>
        <v>7</v>
      </c>
      <c r="C22" s="66">
        <f>C17</f>
        <v>5</v>
      </c>
      <c r="D22" s="66">
        <f>D17</f>
        <v>14</v>
      </c>
      <c r="E22" s="66">
        <f>E17</f>
        <v>17</v>
      </c>
      <c r="F22" s="66">
        <f>F17</f>
        <v>28</v>
      </c>
    </row>
    <row r="23" spans="1:26" ht="16.5" customHeight="1" x14ac:dyDescent="0.2">
      <c r="A23" s="31" t="s">
        <v>861</v>
      </c>
      <c r="B23" s="32">
        <f>-B19</f>
        <v>-4</v>
      </c>
      <c r="C23" s="32">
        <f>-C19</f>
        <v>-3</v>
      </c>
      <c r="D23" s="32">
        <f>-D19</f>
        <v>-9</v>
      </c>
      <c r="E23" s="32">
        <f>-E19</f>
        <v>-10</v>
      </c>
      <c r="F23" s="32">
        <f>-F19</f>
        <v>-17</v>
      </c>
    </row>
    <row r="24" spans="1:26" s="683" customFormat="1" ht="16.5" customHeight="1" x14ac:dyDescent="0.2">
      <c r="A24" s="33" t="s">
        <v>862</v>
      </c>
      <c r="B24" s="66">
        <f>-B18</f>
        <v>-3</v>
      </c>
      <c r="C24" s="66">
        <f>-C18</f>
        <v>-2</v>
      </c>
      <c r="D24" s="66">
        <f>-D18</f>
        <v>-5</v>
      </c>
      <c r="E24" s="66">
        <f>-E18</f>
        <v>-7</v>
      </c>
      <c r="F24" s="66">
        <f>-F18</f>
        <v>-11</v>
      </c>
    </row>
    <row r="25" spans="1:26" s="687" customFormat="1" ht="16.5" customHeight="1" thickBot="1" x14ac:dyDescent="0.25">
      <c r="A25" s="890" t="s">
        <v>817</v>
      </c>
      <c r="B25" s="105">
        <f>SUM(B22:B24)</f>
        <v>0</v>
      </c>
      <c r="C25" s="105">
        <f>SUM(C22:C24)</f>
        <v>0</v>
      </c>
      <c r="D25" s="105">
        <f>SUM(D22:D24)</f>
        <v>0</v>
      </c>
      <c r="E25" s="105">
        <f>SUM(E22:E24)</f>
        <v>0</v>
      </c>
      <c r="F25" s="105">
        <f>SUM(F22:F24)</f>
        <v>0</v>
      </c>
      <c r="H25" s="927"/>
      <c r="I25" s="928"/>
    </row>
    <row r="26" spans="1:26" s="858" customFormat="1" ht="16.5" customHeight="1" x14ac:dyDescent="0.2">
      <c r="G26" s="1170"/>
      <c r="H26" s="1170"/>
      <c r="I26" s="1170"/>
      <c r="J26" s="1170"/>
      <c r="K26" s="1170"/>
      <c r="L26" s="1170"/>
      <c r="M26" s="1170"/>
      <c r="N26" s="1170"/>
      <c r="O26" s="1170"/>
      <c r="P26" s="1170"/>
      <c r="Q26" s="1170"/>
      <c r="R26" s="1170"/>
      <c r="S26" s="1170"/>
      <c r="T26" s="1170"/>
      <c r="U26" s="1170"/>
      <c r="V26" s="1170"/>
      <c r="W26" s="1170"/>
      <c r="X26" s="1170"/>
      <c r="Y26" s="1170"/>
      <c r="Z26" s="1170"/>
    </row>
    <row r="28" spans="1:26" ht="16.5" customHeight="1" x14ac:dyDescent="0.2">
      <c r="K28" s="718"/>
    </row>
  </sheetData>
  <phoneticPr fontId="137" type="noConversion"/>
  <pageMargins left="0.7" right="0.7" top="0.75" bottom="0.75" header="0.3" footer="0.3"/>
  <legacyDrawing r:id="rId1"/>
  <extLst>
    <ext xmlns:mx="http://schemas.microsoft.com/office/mac/excel/2008/main" uri="http://schemas.microsoft.com/office/mac/excel/2008/main">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3399"/>
  </sheetPr>
  <dimension ref="A1:Z141"/>
  <sheetViews>
    <sheetView topLeftCell="A9" workbookViewId="0">
      <selection activeCell="A77" sqref="A77"/>
    </sheetView>
  </sheetViews>
  <sheetFormatPr defaultColWidth="9.140625" defaultRowHeight="16.5" customHeight="1" x14ac:dyDescent="0.2"/>
  <cols>
    <col min="1" max="1" width="55.5703125" style="682" customWidth="1"/>
    <col min="2" max="256" width="8.5703125" style="682" customWidth="1"/>
    <col min="257" max="16384" width="9.140625" style="682"/>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857"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857" customFormat="1" ht="16.5" customHeight="1" x14ac:dyDescent="0.2">
      <c r="G7" s="1169"/>
      <c r="H7" s="1169"/>
      <c r="I7" s="1169"/>
      <c r="J7" s="1169"/>
      <c r="K7" s="1169"/>
      <c r="L7" s="1169"/>
      <c r="M7" s="1169"/>
      <c r="N7" s="1169"/>
      <c r="O7" s="1169"/>
      <c r="P7" s="1169"/>
      <c r="Q7" s="1169"/>
      <c r="R7" s="1169"/>
      <c r="S7" s="1169"/>
      <c r="T7" s="1169"/>
      <c r="U7" s="1169"/>
      <c r="V7" s="1169"/>
      <c r="W7" s="1169"/>
      <c r="X7" s="1169"/>
      <c r="Y7" s="1169"/>
      <c r="Z7" s="1169"/>
    </row>
    <row r="8" spans="1:26" s="710" customFormat="1" ht="16.5" customHeight="1" x14ac:dyDescent="0.2">
      <c r="A8" s="891" t="s">
        <v>904</v>
      </c>
    </row>
    <row r="9" spans="1:26" s="857" customFormat="1" ht="9" customHeight="1" x14ac:dyDescent="0.2">
      <c r="G9" s="1169"/>
      <c r="H9" s="1169"/>
      <c r="I9" s="1169"/>
      <c r="J9" s="1169"/>
      <c r="K9" s="1169"/>
      <c r="L9" s="1169"/>
      <c r="M9" s="1169"/>
      <c r="N9" s="1169"/>
      <c r="O9" s="1169"/>
      <c r="P9" s="1169"/>
      <c r="Q9" s="1169"/>
      <c r="R9" s="1169"/>
      <c r="S9" s="1169"/>
      <c r="T9" s="1169"/>
      <c r="U9" s="1169"/>
      <c r="V9" s="1169"/>
      <c r="W9" s="1169"/>
      <c r="X9" s="1169"/>
      <c r="Y9" s="1169"/>
      <c r="Z9" s="1169"/>
    </row>
    <row r="10" spans="1:26" s="857" customFormat="1" ht="16.5" customHeight="1" x14ac:dyDescent="0.2">
      <c r="A10" s="246" t="s">
        <v>241</v>
      </c>
      <c r="B10" s="50" t="s">
        <v>493</v>
      </c>
      <c r="C10" s="50"/>
      <c r="D10" s="50"/>
      <c r="E10" s="50"/>
      <c r="F10" s="50"/>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857" customFormat="1" ht="16.5" customHeight="1" x14ac:dyDescent="0.2">
      <c r="B11" s="644">
        <f>'BS Analysis Adjustments'!B1</f>
        <v>2011</v>
      </c>
      <c r="C11" s="644">
        <f>'BS Analysis Adjustments'!L1</f>
        <v>2012</v>
      </c>
      <c r="D11" s="644">
        <f>'BS Analysis Adjustments'!V1</f>
        <v>2013</v>
      </c>
      <c r="E11" s="644">
        <f>'BS Analysis Adjustments'!AF1</f>
        <v>2014</v>
      </c>
      <c r="F11" s="644">
        <f>'BS Analysis Adjustments'!AP1</f>
        <v>2015</v>
      </c>
      <c r="G11" s="1169"/>
      <c r="H11" s="1169"/>
      <c r="I11" s="1169"/>
      <c r="J11" s="1169"/>
      <c r="K11" s="1169"/>
      <c r="L11" s="1169"/>
      <c r="M11" s="1169"/>
      <c r="N11" s="1169"/>
      <c r="O11" s="1169"/>
      <c r="P11" s="1169"/>
      <c r="Q11" s="1169"/>
      <c r="R11" s="1169"/>
      <c r="S11" s="1169"/>
      <c r="T11" s="1169"/>
      <c r="U11" s="1169"/>
      <c r="V11" s="1169"/>
      <c r="W11" s="1169"/>
      <c r="X11" s="1169"/>
      <c r="Y11" s="1169"/>
      <c r="Z11" s="1169"/>
    </row>
    <row r="12" spans="1:26" s="920" customFormat="1" ht="16.5" customHeight="1" x14ac:dyDescent="0.2">
      <c r="A12" s="921" t="s">
        <v>416</v>
      </c>
      <c r="G12" s="1193"/>
      <c r="H12" s="1193"/>
      <c r="I12" s="1193"/>
      <c r="J12" s="1193"/>
      <c r="K12" s="1193"/>
      <c r="L12" s="1193"/>
      <c r="M12" s="1193"/>
      <c r="N12" s="1193"/>
      <c r="O12" s="1193"/>
      <c r="P12" s="1193"/>
      <c r="Q12" s="1193"/>
      <c r="R12" s="1193"/>
      <c r="S12" s="1193"/>
      <c r="T12" s="1193"/>
      <c r="U12" s="1193"/>
      <c r="V12" s="1193"/>
      <c r="W12" s="1193"/>
      <c r="X12" s="1193"/>
      <c r="Y12" s="1193"/>
      <c r="Z12" s="1193"/>
    </row>
    <row r="13" spans="1:26" s="895" customFormat="1" ht="16.5" customHeight="1" x14ac:dyDescent="0.2">
      <c r="A13" s="919"/>
      <c r="G13" s="1201"/>
      <c r="H13" s="1201"/>
      <c r="I13" s="1201"/>
      <c r="J13" s="1201"/>
      <c r="K13" s="1201"/>
      <c r="L13" s="1201"/>
      <c r="M13" s="1201"/>
      <c r="N13" s="1201"/>
      <c r="O13" s="1201"/>
      <c r="P13" s="1201"/>
      <c r="Q13" s="1201"/>
      <c r="R13" s="1201"/>
      <c r="S13" s="1201"/>
      <c r="T13" s="1201"/>
      <c r="U13" s="1201"/>
      <c r="V13" s="1201"/>
      <c r="W13" s="1201"/>
      <c r="X13" s="1201"/>
      <c r="Y13" s="1201"/>
      <c r="Z13" s="1201"/>
    </row>
    <row r="14" spans="1:26" s="895" customFormat="1" ht="16.5" customHeight="1" x14ac:dyDescent="0.2">
      <c r="A14" s="919"/>
      <c r="G14" s="1201"/>
      <c r="H14" s="1201"/>
      <c r="I14" s="1201"/>
      <c r="J14" s="1201"/>
      <c r="K14" s="1201"/>
      <c r="L14" s="1201"/>
      <c r="M14" s="1201"/>
      <c r="N14" s="1201"/>
      <c r="O14" s="1201"/>
      <c r="P14" s="1201"/>
      <c r="Q14" s="1201"/>
      <c r="R14" s="1201"/>
      <c r="S14" s="1201"/>
      <c r="T14" s="1201"/>
      <c r="U14" s="1201"/>
      <c r="V14" s="1201"/>
      <c r="W14" s="1201"/>
      <c r="X14" s="1201"/>
      <c r="Y14" s="1201"/>
      <c r="Z14" s="1201"/>
    </row>
    <row r="15" spans="1:26" s="895" customFormat="1" ht="16.5" customHeight="1" x14ac:dyDescent="0.2">
      <c r="A15" s="919"/>
      <c r="G15" s="1201"/>
      <c r="H15" s="1201"/>
      <c r="I15" s="1201"/>
      <c r="J15" s="1201"/>
      <c r="K15" s="1201"/>
      <c r="L15" s="1201"/>
      <c r="M15" s="1201"/>
      <c r="N15" s="1201"/>
      <c r="O15" s="1201"/>
      <c r="P15" s="1201"/>
      <c r="Q15" s="1201"/>
      <c r="R15" s="1201"/>
      <c r="S15" s="1201"/>
      <c r="T15" s="1201"/>
      <c r="U15" s="1201"/>
      <c r="V15" s="1201"/>
      <c r="W15" s="1201"/>
      <c r="X15" s="1201"/>
      <c r="Y15" s="1201"/>
      <c r="Z15" s="1201"/>
    </row>
    <row r="16" spans="1:26" s="895" customFormat="1" ht="16.5" customHeight="1" x14ac:dyDescent="0.2">
      <c r="A16" s="919"/>
      <c r="G16" s="1201"/>
      <c r="H16" s="1201"/>
      <c r="I16" s="1201"/>
      <c r="J16" s="1201"/>
      <c r="K16" s="1201"/>
      <c r="L16" s="1201"/>
      <c r="M16" s="1201"/>
      <c r="N16" s="1201"/>
      <c r="O16" s="1201"/>
      <c r="P16" s="1201"/>
      <c r="Q16" s="1201"/>
      <c r="R16" s="1201"/>
      <c r="S16" s="1201"/>
      <c r="T16" s="1201"/>
      <c r="U16" s="1201"/>
      <c r="V16" s="1201"/>
      <c r="W16" s="1201"/>
      <c r="X16" s="1201"/>
      <c r="Y16" s="1201"/>
      <c r="Z16" s="1201"/>
    </row>
    <row r="17" spans="1:26" s="896" customFormat="1" ht="16.5" customHeight="1" x14ac:dyDescent="0.2">
      <c r="A17" s="934" t="s">
        <v>897</v>
      </c>
      <c r="G17" s="1202"/>
      <c r="H17" s="1202"/>
      <c r="I17" s="1202"/>
      <c r="J17" s="1202"/>
      <c r="K17" s="1202"/>
      <c r="L17" s="1202"/>
      <c r="M17" s="1202"/>
      <c r="N17" s="1202"/>
      <c r="O17" s="1202"/>
      <c r="P17" s="1202"/>
      <c r="Q17" s="1202"/>
      <c r="R17" s="1202"/>
      <c r="S17" s="1202"/>
      <c r="T17" s="1202"/>
      <c r="U17" s="1202"/>
      <c r="V17" s="1202"/>
      <c r="W17" s="1202"/>
      <c r="X17" s="1202"/>
      <c r="Y17" s="1202"/>
      <c r="Z17" s="1202"/>
    </row>
    <row r="18" spans="1:26" s="857" customFormat="1" ht="9" customHeight="1" x14ac:dyDescent="0.2">
      <c r="G18" s="1169"/>
      <c r="H18" s="1169"/>
      <c r="I18" s="1169"/>
      <c r="J18" s="1169"/>
      <c r="K18" s="1169"/>
      <c r="L18" s="1169"/>
      <c r="M18" s="1169"/>
      <c r="N18" s="1169"/>
      <c r="O18" s="1169"/>
      <c r="P18" s="1169"/>
      <c r="Q18" s="1169"/>
      <c r="R18" s="1169"/>
      <c r="S18" s="1169"/>
      <c r="T18" s="1169"/>
      <c r="U18" s="1169"/>
      <c r="V18" s="1169"/>
      <c r="W18" s="1169"/>
      <c r="X18" s="1169"/>
      <c r="Y18" s="1169"/>
      <c r="Z18" s="1169"/>
    </row>
    <row r="19" spans="1:26" s="683" customFormat="1" ht="16.5" customHeight="1" x14ac:dyDescent="0.2">
      <c r="A19" s="883" t="s">
        <v>775</v>
      </c>
      <c r="B19" s="886"/>
      <c r="C19" s="887"/>
      <c r="D19" s="752"/>
      <c r="E19" s="752"/>
      <c r="F19" s="752"/>
      <c r="G19" s="901"/>
      <c r="H19" s="901"/>
    </row>
    <row r="20" spans="1:26" s="684" customFormat="1" ht="16.5" customHeight="1" x14ac:dyDescent="0.2">
      <c r="A20" s="584" t="s">
        <v>899</v>
      </c>
      <c r="B20" s="737">
        <v>25</v>
      </c>
      <c r="C20" s="737">
        <v>0</v>
      </c>
      <c r="D20" s="737">
        <v>0</v>
      </c>
      <c r="E20" s="737">
        <v>0</v>
      </c>
      <c r="F20" s="737">
        <v>0</v>
      </c>
    </row>
    <row r="21" spans="1:26" s="931" customFormat="1" ht="9" customHeight="1" x14ac:dyDescent="0.2">
      <c r="A21" s="933"/>
      <c r="B21" s="900"/>
      <c r="C21" s="900"/>
    </row>
    <row r="22" spans="1:26" s="683" customFormat="1" ht="16.5" customHeight="1" x14ac:dyDescent="0.2">
      <c r="A22" s="66" t="s">
        <v>863</v>
      </c>
      <c r="B22" s="290">
        <f>'IS Analysis Adjustments'!B26</f>
        <v>1119</v>
      </c>
      <c r="C22" s="290">
        <f>'IS Analysis Adjustments'!L26</f>
        <v>1185</v>
      </c>
      <c r="D22" s="290">
        <f>'IS Analysis Adjustments'!V26</f>
        <v>1189</v>
      </c>
      <c r="E22" s="290">
        <f>'IS Analysis Adjustments'!AF26</f>
        <v>1185</v>
      </c>
      <c r="F22" s="290">
        <f>'IS Analysis Adjustments'!AP26</f>
        <v>976</v>
      </c>
    </row>
    <row r="23" spans="1:26" s="857" customFormat="1" ht="16.5" customHeight="1" x14ac:dyDescent="0.2">
      <c r="A23" s="41" t="s">
        <v>864</v>
      </c>
      <c r="B23" s="92">
        <f>'IS Analysis Adjustments'!B27</f>
        <v>436</v>
      </c>
      <c r="C23" s="92">
        <f>'IS Analysis Adjustments'!L27</f>
        <v>450</v>
      </c>
      <c r="D23" s="92">
        <f>'IS Analysis Adjustments'!V27</f>
        <v>455</v>
      </c>
      <c r="E23" s="92">
        <f>'IS Analysis Adjustments'!AF27</f>
        <v>465</v>
      </c>
      <c r="F23" s="92">
        <f>'IS Analysis Adjustments'!AP27</f>
        <v>376</v>
      </c>
      <c r="G23" s="1169"/>
      <c r="H23" s="1169"/>
      <c r="I23" s="1169"/>
      <c r="J23" s="1169"/>
      <c r="K23" s="1169"/>
      <c r="L23" s="1169"/>
      <c r="M23" s="1169"/>
      <c r="N23" s="1169"/>
      <c r="O23" s="1169"/>
      <c r="P23" s="1169"/>
      <c r="Q23" s="1169"/>
      <c r="R23" s="1169"/>
      <c r="S23" s="1169"/>
      <c r="T23" s="1169"/>
      <c r="U23" s="1169"/>
      <c r="V23" s="1169"/>
      <c r="W23" s="1169"/>
      <c r="X23" s="1169"/>
      <c r="Y23" s="1169"/>
      <c r="Z23" s="1169"/>
    </row>
    <row r="24" spans="1:26" s="930" customFormat="1" ht="16.5" customHeight="1" x14ac:dyDescent="0.2">
      <c r="A24" s="929" t="s">
        <v>901</v>
      </c>
      <c r="B24" s="889">
        <f>B23/B22</f>
        <v>0.3896336014298481</v>
      </c>
      <c r="C24" s="889">
        <f>C23/C22</f>
        <v>0.379746835443038</v>
      </c>
      <c r="D24" s="889">
        <f>D23/D22</f>
        <v>0.3826745164003364</v>
      </c>
      <c r="E24" s="889">
        <f>E23/E22</f>
        <v>0.39240506329113922</v>
      </c>
      <c r="F24" s="889">
        <f>F23/F22</f>
        <v>0.38524590163934425</v>
      </c>
    </row>
    <row r="25" spans="1:26" s="725" customFormat="1" ht="9" customHeight="1" x14ac:dyDescent="0.2"/>
    <row r="26" spans="1:26" s="819" customFormat="1" ht="16.5" customHeight="1" x14ac:dyDescent="0.2">
      <c r="A26" s="898" t="s">
        <v>891</v>
      </c>
    </row>
    <row r="27" spans="1:26" s="66" customFormat="1" ht="16.5" customHeight="1" x14ac:dyDescent="0.2">
      <c r="A27" s="66" t="s">
        <v>902</v>
      </c>
      <c r="B27" s="66">
        <f>-B29-B28</f>
        <v>15</v>
      </c>
      <c r="C27" s="66">
        <f>-C29-C28</f>
        <v>0</v>
      </c>
      <c r="D27" s="66">
        <f>-D29-D28</f>
        <v>0</v>
      </c>
      <c r="E27" s="66">
        <f>-E29-E28</f>
        <v>0</v>
      </c>
      <c r="F27" s="66">
        <f>-F29-F28</f>
        <v>0</v>
      </c>
      <c r="G27" s="726"/>
      <c r="H27" s="726"/>
      <c r="I27" s="726"/>
      <c r="J27" s="726"/>
      <c r="K27" s="726"/>
      <c r="L27" s="726"/>
      <c r="M27" s="726"/>
      <c r="N27" s="726"/>
      <c r="O27" s="726"/>
      <c r="P27" s="726"/>
      <c r="Q27" s="726"/>
      <c r="R27" s="726"/>
      <c r="S27" s="726"/>
      <c r="T27" s="726"/>
      <c r="U27" s="726"/>
      <c r="V27" s="726"/>
      <c r="W27" s="726"/>
      <c r="X27" s="726"/>
      <c r="Y27" s="726"/>
      <c r="Z27" s="726"/>
    </row>
    <row r="28" spans="1:26" s="683" customFormat="1" ht="16.5" customHeight="1" x14ac:dyDescent="0.2">
      <c r="A28" s="871" t="s">
        <v>903</v>
      </c>
      <c r="B28" s="871">
        <f>ROUND(B20*B24,0)</f>
        <v>10</v>
      </c>
      <c r="C28" s="871">
        <f>ROUND(C20*C24,0)</f>
        <v>0</v>
      </c>
      <c r="D28" s="871">
        <f>ROUND(D20*D24,0)</f>
        <v>0</v>
      </c>
      <c r="E28" s="871">
        <f>ROUND(E20*E24,0)</f>
        <v>0</v>
      </c>
      <c r="F28" s="871">
        <f>ROUND(F20*F24,0)</f>
        <v>0</v>
      </c>
    </row>
    <row r="29" spans="1:26" s="32" customFormat="1" ht="16.5" customHeight="1" x14ac:dyDescent="0.2">
      <c r="A29" s="32" t="s">
        <v>900</v>
      </c>
      <c r="B29" s="32">
        <f>-B20</f>
        <v>-25</v>
      </c>
      <c r="C29" s="32">
        <f>-C20</f>
        <v>0</v>
      </c>
      <c r="D29" s="32">
        <f>-D20</f>
        <v>0</v>
      </c>
      <c r="E29" s="32">
        <f>-E20</f>
        <v>0</v>
      </c>
      <c r="F29" s="32">
        <f>-F20</f>
        <v>0</v>
      </c>
      <c r="G29" s="718"/>
      <c r="H29" s="718"/>
      <c r="I29" s="718"/>
      <c r="J29" s="718"/>
      <c r="K29" s="718"/>
      <c r="L29" s="718"/>
      <c r="M29" s="718"/>
      <c r="N29" s="718"/>
      <c r="O29" s="718"/>
      <c r="P29" s="718"/>
      <c r="Q29" s="718"/>
      <c r="R29" s="718"/>
      <c r="S29" s="718"/>
      <c r="T29" s="718"/>
      <c r="U29" s="718"/>
      <c r="V29" s="718"/>
      <c r="W29" s="718"/>
      <c r="X29" s="718"/>
      <c r="Y29" s="718"/>
      <c r="Z29" s="718"/>
    </row>
    <row r="30" spans="1:26" s="687" customFormat="1" ht="16.5" customHeight="1" thickBot="1" x14ac:dyDescent="0.25">
      <c r="A30" s="890" t="s">
        <v>817</v>
      </c>
      <c r="B30" s="37">
        <f>SUM(B27:B29)</f>
        <v>0</v>
      </c>
      <c r="C30" s="37">
        <f>SUM(C27:C29)</f>
        <v>0</v>
      </c>
      <c r="D30" s="37">
        <f>SUM(D27:D29)</f>
        <v>0</v>
      </c>
      <c r="E30" s="37">
        <f>SUM(E27:E29)</f>
        <v>0</v>
      </c>
      <c r="F30" s="37">
        <f>SUM(F27:F29)</f>
        <v>0</v>
      </c>
    </row>
    <row r="31" spans="1:26" s="683" customFormat="1" ht="16.5" customHeight="1" x14ac:dyDescent="0.2"/>
    <row r="35" spans="1:26" s="685" customFormat="1" ht="16.5" customHeight="1" x14ac:dyDescent="0.2"/>
    <row r="36" spans="1:26" s="857" customFormat="1" ht="16.5" customHeight="1" x14ac:dyDescent="0.2">
      <c r="G36" s="1169"/>
      <c r="H36" s="1169"/>
      <c r="I36" s="1169"/>
      <c r="J36" s="1169"/>
      <c r="K36" s="1169"/>
      <c r="L36" s="1169"/>
      <c r="M36" s="1169"/>
      <c r="N36" s="1169"/>
      <c r="O36" s="1169"/>
      <c r="P36" s="1169"/>
      <c r="Q36" s="1169"/>
      <c r="R36" s="1169"/>
      <c r="S36" s="1169"/>
      <c r="T36" s="1169"/>
      <c r="U36" s="1169"/>
      <c r="V36" s="1169"/>
      <c r="W36" s="1169"/>
      <c r="X36" s="1169"/>
      <c r="Y36" s="1169"/>
      <c r="Z36" s="1169"/>
    </row>
    <row r="37" spans="1:26" s="710" customFormat="1" ht="16.5" customHeight="1" x14ac:dyDescent="0.2">
      <c r="A37" s="891" t="s">
        <v>905</v>
      </c>
    </row>
    <row r="38" spans="1:26" s="857" customFormat="1" ht="9" customHeight="1" x14ac:dyDescent="0.2">
      <c r="G38" s="1169"/>
      <c r="H38" s="1169"/>
      <c r="I38" s="1169"/>
      <c r="J38" s="1169"/>
      <c r="K38" s="1169"/>
      <c r="L38" s="1169"/>
      <c r="M38" s="1169"/>
      <c r="N38" s="1169"/>
      <c r="O38" s="1169"/>
      <c r="P38" s="1169"/>
      <c r="Q38" s="1169"/>
      <c r="R38" s="1169"/>
      <c r="S38" s="1169"/>
      <c r="T38" s="1169"/>
      <c r="U38" s="1169"/>
      <c r="V38" s="1169"/>
      <c r="W38" s="1169"/>
      <c r="X38" s="1169"/>
      <c r="Y38" s="1169"/>
      <c r="Z38" s="1169"/>
    </row>
    <row r="39" spans="1:26" s="857" customFormat="1" ht="16.5" customHeight="1" x14ac:dyDescent="0.2">
      <c r="A39" s="246" t="s">
        <v>241</v>
      </c>
      <c r="B39" s="50" t="s">
        <v>493</v>
      </c>
      <c r="C39" s="50"/>
      <c r="D39" s="50"/>
      <c r="E39" s="50"/>
      <c r="F39" s="50"/>
      <c r="G39" s="1169"/>
      <c r="H39" s="1169"/>
      <c r="I39" s="1169"/>
      <c r="J39" s="1169"/>
      <c r="K39" s="1169"/>
      <c r="L39" s="1169"/>
      <c r="M39" s="1169"/>
      <c r="N39" s="1169"/>
      <c r="O39" s="1169"/>
      <c r="P39" s="1169"/>
      <c r="Q39" s="1169"/>
      <c r="R39" s="1169"/>
      <c r="S39" s="1169"/>
      <c r="T39" s="1169"/>
      <c r="U39" s="1169"/>
      <c r="V39" s="1169"/>
      <c r="W39" s="1169"/>
      <c r="X39" s="1169"/>
      <c r="Y39" s="1169"/>
      <c r="Z39" s="1169"/>
    </row>
    <row r="40" spans="1:26" s="857" customFormat="1" ht="16.5" customHeight="1" x14ac:dyDescent="0.2">
      <c r="B40" s="644">
        <f>'BS Analysis Adjustments'!B1</f>
        <v>2011</v>
      </c>
      <c r="C40" s="644">
        <f>'BS Analysis Adjustments'!L1</f>
        <v>2012</v>
      </c>
      <c r="D40" s="644">
        <f>'BS Analysis Adjustments'!V1</f>
        <v>2013</v>
      </c>
      <c r="E40" s="644">
        <f>'BS Analysis Adjustments'!AF1</f>
        <v>2014</v>
      </c>
      <c r="F40" s="644">
        <f>'BS Analysis Adjustments'!AP1</f>
        <v>2015</v>
      </c>
      <c r="G40" s="1169"/>
      <c r="H40" s="1169"/>
      <c r="I40" s="1169"/>
      <c r="J40" s="1169"/>
      <c r="K40" s="1169"/>
      <c r="L40" s="1169"/>
      <c r="M40" s="1169"/>
      <c r="N40" s="1169"/>
      <c r="O40" s="1169"/>
      <c r="P40" s="1169"/>
      <c r="Q40" s="1169"/>
      <c r="R40" s="1169"/>
      <c r="S40" s="1169"/>
      <c r="T40" s="1169"/>
      <c r="U40" s="1169"/>
      <c r="V40" s="1169"/>
      <c r="W40" s="1169"/>
      <c r="X40" s="1169"/>
      <c r="Y40" s="1169"/>
      <c r="Z40" s="1169"/>
    </row>
    <row r="41" spans="1:26" s="920" customFormat="1" ht="16.5" customHeight="1" x14ac:dyDescent="0.2">
      <c r="A41" s="921" t="s">
        <v>416</v>
      </c>
      <c r="G41" s="1193"/>
      <c r="H41" s="1193"/>
      <c r="I41" s="1193"/>
      <c r="J41" s="1193"/>
      <c r="K41" s="1193"/>
      <c r="L41" s="1193"/>
      <c r="M41" s="1193"/>
      <c r="N41" s="1193"/>
      <c r="O41" s="1193"/>
      <c r="P41" s="1193"/>
      <c r="Q41" s="1193"/>
      <c r="R41" s="1193"/>
      <c r="S41" s="1193"/>
      <c r="T41" s="1193"/>
      <c r="U41" s="1193"/>
      <c r="V41" s="1193"/>
      <c r="W41" s="1193"/>
      <c r="X41" s="1193"/>
      <c r="Y41" s="1193"/>
      <c r="Z41" s="1193"/>
    </row>
    <row r="42" spans="1:26" s="922" customFormat="1" ht="16.5" customHeight="1" x14ac:dyDescent="0.2">
      <c r="A42" s="935"/>
      <c r="G42" s="1203"/>
      <c r="H42" s="1203"/>
      <c r="I42" s="1203"/>
      <c r="J42" s="1203"/>
      <c r="K42" s="1203"/>
      <c r="L42" s="1203"/>
      <c r="M42" s="1203"/>
      <c r="N42" s="1203"/>
      <c r="O42" s="1203"/>
      <c r="P42" s="1203"/>
      <c r="Q42" s="1203"/>
      <c r="R42" s="1203"/>
      <c r="S42" s="1203"/>
      <c r="T42" s="1203"/>
      <c r="U42" s="1203"/>
      <c r="V42" s="1203"/>
      <c r="W42" s="1203"/>
      <c r="X42" s="1203"/>
      <c r="Y42" s="1203"/>
      <c r="Z42" s="1203"/>
    </row>
    <row r="43" spans="1:26" s="922" customFormat="1" ht="16.5" customHeight="1" x14ac:dyDescent="0.2">
      <c r="A43" s="935"/>
      <c r="G43" s="1203"/>
      <c r="H43" s="1203"/>
      <c r="I43" s="1203"/>
      <c r="J43" s="1203"/>
      <c r="K43" s="1203"/>
      <c r="L43" s="1203"/>
      <c r="M43" s="1203"/>
      <c r="N43" s="1203"/>
      <c r="O43" s="1203"/>
      <c r="P43" s="1203"/>
      <c r="Q43" s="1203"/>
      <c r="R43" s="1203"/>
      <c r="S43" s="1203"/>
      <c r="T43" s="1203"/>
      <c r="U43" s="1203"/>
      <c r="V43" s="1203"/>
      <c r="W43" s="1203"/>
      <c r="X43" s="1203"/>
      <c r="Y43" s="1203"/>
      <c r="Z43" s="1203"/>
    </row>
    <row r="44" spans="1:26" s="895" customFormat="1" ht="16.5" customHeight="1" x14ac:dyDescent="0.2">
      <c r="A44" s="919"/>
      <c r="G44" s="1201"/>
      <c r="H44" s="1201"/>
      <c r="I44" s="1201"/>
      <c r="J44" s="1201"/>
      <c r="K44" s="1201"/>
      <c r="L44" s="1201"/>
      <c r="M44" s="1201"/>
      <c r="N44" s="1201"/>
      <c r="O44" s="1201"/>
      <c r="P44" s="1201"/>
      <c r="Q44" s="1201"/>
      <c r="R44" s="1201"/>
      <c r="S44" s="1201"/>
      <c r="T44" s="1201"/>
      <c r="U44" s="1201"/>
      <c r="V44" s="1201"/>
      <c r="W44" s="1201"/>
      <c r="X44" s="1201"/>
      <c r="Y44" s="1201"/>
      <c r="Z44" s="1201"/>
    </row>
    <row r="45" spans="1:26" s="896" customFormat="1" ht="16.5" customHeight="1" x14ac:dyDescent="0.2">
      <c r="A45" s="934" t="s">
        <v>897</v>
      </c>
      <c r="G45" s="1202"/>
      <c r="H45" s="1202"/>
      <c r="I45" s="1202"/>
      <c r="J45" s="1202"/>
      <c r="K45" s="1202"/>
      <c r="L45" s="1202"/>
      <c r="M45" s="1202"/>
      <c r="N45" s="1202"/>
      <c r="O45" s="1202"/>
      <c r="P45" s="1202"/>
      <c r="Q45" s="1202"/>
      <c r="R45" s="1202"/>
      <c r="S45" s="1202"/>
      <c r="T45" s="1202"/>
      <c r="U45" s="1202"/>
      <c r="V45" s="1202"/>
      <c r="W45" s="1202"/>
      <c r="X45" s="1202"/>
      <c r="Y45" s="1202"/>
      <c r="Z45" s="1202"/>
    </row>
    <row r="46" spans="1:26" s="900" customFormat="1" ht="9" customHeight="1" x14ac:dyDescent="0.2">
      <c r="A46" s="945"/>
    </row>
    <row r="47" spans="1:26" s="683" customFormat="1" ht="16.5" customHeight="1" x14ac:dyDescent="0.2">
      <c r="A47" s="66" t="s">
        <v>863</v>
      </c>
      <c r="B47" s="290">
        <f>'IS Analysis Adjustments'!B26</f>
        <v>1119</v>
      </c>
      <c r="C47" s="290">
        <f>'IS Analysis Adjustments'!L26</f>
        <v>1185</v>
      </c>
      <c r="D47" s="290">
        <f>'IS Analysis Adjustments'!V26</f>
        <v>1189</v>
      </c>
      <c r="E47" s="290">
        <f>'IS Analysis Adjustments'!AF26</f>
        <v>1185</v>
      </c>
      <c r="F47" s="290">
        <f>'IS Analysis Adjustments'!AP26</f>
        <v>976</v>
      </c>
    </row>
    <row r="48" spans="1:26" s="857" customFormat="1" ht="16.5" customHeight="1" x14ac:dyDescent="0.2">
      <c r="A48" s="41" t="s">
        <v>864</v>
      </c>
      <c r="B48" s="290">
        <f>'IS Analysis Adjustments'!B27</f>
        <v>436</v>
      </c>
      <c r="C48" s="290">
        <f>'IS Analysis Adjustments'!L27</f>
        <v>450</v>
      </c>
      <c r="D48" s="290">
        <f>'IS Analysis Adjustments'!V27</f>
        <v>455</v>
      </c>
      <c r="E48" s="290">
        <f>'IS Analysis Adjustments'!AF27</f>
        <v>465</v>
      </c>
      <c r="F48" s="290">
        <f>'IS Analysis Adjustments'!AP27</f>
        <v>376</v>
      </c>
      <c r="G48" s="1169"/>
      <c r="H48" s="1169"/>
      <c r="I48" s="1169"/>
      <c r="J48" s="1169"/>
      <c r="K48" s="1169"/>
      <c r="L48" s="1169"/>
      <c r="M48" s="1169"/>
      <c r="N48" s="1169"/>
      <c r="O48" s="1169"/>
      <c r="P48" s="1169"/>
      <c r="Q48" s="1169"/>
      <c r="R48" s="1169"/>
      <c r="S48" s="1169"/>
      <c r="T48" s="1169"/>
      <c r="U48" s="1169"/>
      <c r="V48" s="1169"/>
      <c r="W48" s="1169"/>
      <c r="X48" s="1169"/>
      <c r="Y48" s="1169"/>
      <c r="Z48" s="1169"/>
    </row>
    <row r="49" spans="1:26" s="930" customFormat="1" ht="16.5" customHeight="1" x14ac:dyDescent="0.2">
      <c r="A49" s="929" t="s">
        <v>901</v>
      </c>
      <c r="B49" s="889">
        <f>B48/B47</f>
        <v>0.3896336014298481</v>
      </c>
      <c r="C49" s="889">
        <f>C48/C47</f>
        <v>0.379746835443038</v>
      </c>
      <c r="D49" s="889">
        <f>D48/D47</f>
        <v>0.3826745164003364</v>
      </c>
      <c r="E49" s="889">
        <f>E48/E47</f>
        <v>0.39240506329113922</v>
      </c>
      <c r="F49" s="889">
        <f>F48/F47</f>
        <v>0.38524590163934425</v>
      </c>
    </row>
    <row r="50" spans="1:26" s="857" customFormat="1" ht="9" customHeight="1" x14ac:dyDescent="0.2">
      <c r="A50" s="797"/>
      <c r="B50" s="924"/>
      <c r="C50" s="924"/>
      <c r="D50" s="924"/>
      <c r="E50" s="924"/>
      <c r="F50" s="924"/>
      <c r="G50" s="1169"/>
      <c r="H50" s="1169"/>
      <c r="I50" s="1169"/>
      <c r="J50" s="1169"/>
      <c r="K50" s="1169"/>
      <c r="L50" s="1169"/>
      <c r="M50" s="1169"/>
      <c r="N50" s="1169"/>
      <c r="O50" s="1169"/>
      <c r="P50" s="1169"/>
      <c r="Q50" s="1169"/>
      <c r="R50" s="1169"/>
      <c r="S50" s="1169"/>
      <c r="T50" s="1169"/>
      <c r="U50" s="1169"/>
      <c r="V50" s="1169"/>
      <c r="W50" s="1169"/>
      <c r="X50" s="1169"/>
      <c r="Y50" s="1169"/>
      <c r="Z50" s="1169"/>
    </row>
    <row r="51" spans="1:26" s="290" customFormat="1" ht="16.5" customHeight="1" x14ac:dyDescent="0.2">
      <c r="A51" s="939" t="s">
        <v>844</v>
      </c>
      <c r="B51" s="922">
        <v>0</v>
      </c>
      <c r="C51" s="922">
        <v>0</v>
      </c>
      <c r="D51" s="922">
        <v>0</v>
      </c>
      <c r="E51" s="922">
        <v>0</v>
      </c>
      <c r="F51" s="922">
        <v>0</v>
      </c>
      <c r="G51" s="1198"/>
      <c r="H51" s="1198"/>
      <c r="I51" s="1198"/>
      <c r="J51" s="1198"/>
      <c r="K51" s="1198"/>
      <c r="L51" s="1198"/>
      <c r="M51" s="1198"/>
      <c r="N51" s="1198"/>
      <c r="O51" s="1198"/>
      <c r="P51" s="1198"/>
      <c r="Q51" s="1198"/>
      <c r="R51" s="1198"/>
      <c r="S51" s="1198"/>
      <c r="T51" s="1198"/>
      <c r="U51" s="1198"/>
      <c r="V51" s="1198"/>
      <c r="W51" s="1198"/>
      <c r="X51" s="1198"/>
      <c r="Y51" s="1198"/>
      <c r="Z51" s="1198"/>
    </row>
    <row r="52" spans="1:26" s="291" customFormat="1" ht="16.5" customHeight="1" x14ac:dyDescent="0.2">
      <c r="A52" s="940" t="s">
        <v>845</v>
      </c>
      <c r="B52" s="937">
        <v>0</v>
      </c>
      <c r="C52" s="937">
        <v>0</v>
      </c>
      <c r="D52" s="937">
        <v>0</v>
      </c>
      <c r="E52" s="937">
        <v>0</v>
      </c>
      <c r="F52" s="937">
        <v>0</v>
      </c>
      <c r="G52" s="975"/>
      <c r="H52" s="975"/>
      <c r="I52" s="975"/>
      <c r="J52" s="975"/>
      <c r="K52" s="975"/>
      <c r="L52" s="975"/>
      <c r="M52" s="975"/>
      <c r="N52" s="975"/>
      <c r="O52" s="975"/>
      <c r="P52" s="975"/>
      <c r="Q52" s="975"/>
      <c r="R52" s="975"/>
      <c r="S52" s="975"/>
      <c r="T52" s="975"/>
      <c r="U52" s="975"/>
      <c r="V52" s="975"/>
      <c r="W52" s="975"/>
      <c r="X52" s="975"/>
      <c r="Y52" s="975"/>
      <c r="Z52" s="975"/>
    </row>
    <row r="53" spans="1:26" s="290" customFormat="1" ht="16.5" customHeight="1" x14ac:dyDescent="0.2">
      <c r="A53" s="939" t="s">
        <v>842</v>
      </c>
      <c r="B53" s="290">
        <f>SUM(B51:B52)</f>
        <v>0</v>
      </c>
      <c r="C53" s="290">
        <f>SUM(C51:C52)</f>
        <v>0</v>
      </c>
      <c r="D53" s="290">
        <f>SUM(D51:D52)</f>
        <v>0</v>
      </c>
      <c r="E53" s="290">
        <f>SUM(E51:E52)</f>
        <v>0</v>
      </c>
      <c r="F53" s="290">
        <f>SUM(F51:F52)</f>
        <v>0</v>
      </c>
      <c r="G53" s="1198"/>
      <c r="H53" s="1198"/>
      <c r="I53" s="1198"/>
      <c r="J53" s="1198"/>
      <c r="K53" s="1198"/>
      <c r="L53" s="1198"/>
      <c r="M53" s="1198"/>
      <c r="N53" s="1198"/>
      <c r="O53" s="1198"/>
      <c r="P53" s="1198"/>
      <c r="Q53" s="1198"/>
      <c r="R53" s="1198"/>
      <c r="S53" s="1198"/>
      <c r="T53" s="1198"/>
      <c r="U53" s="1198"/>
      <c r="V53" s="1198"/>
      <c r="W53" s="1198"/>
      <c r="X53" s="1198"/>
      <c r="Y53" s="1198"/>
      <c r="Z53" s="1198"/>
    </row>
    <row r="54" spans="1:26" s="277" customFormat="1" ht="16.5" customHeight="1" x14ac:dyDescent="0.2">
      <c r="A54" s="944" t="s">
        <v>843</v>
      </c>
      <c r="B54" s="896">
        <v>0</v>
      </c>
      <c r="C54" s="896">
        <v>0</v>
      </c>
      <c r="D54" s="896">
        <v>0</v>
      </c>
      <c r="E54" s="896">
        <v>0</v>
      </c>
      <c r="F54" s="896">
        <v>0</v>
      </c>
      <c r="G54" s="913"/>
      <c r="H54" s="913"/>
      <c r="I54" s="913"/>
      <c r="J54" s="913"/>
      <c r="K54" s="913"/>
      <c r="L54" s="913"/>
      <c r="M54" s="913"/>
      <c r="N54" s="913"/>
      <c r="O54" s="913"/>
      <c r="P54" s="913"/>
      <c r="Q54" s="913"/>
      <c r="R54" s="913"/>
      <c r="S54" s="913"/>
      <c r="T54" s="913"/>
      <c r="U54" s="913"/>
      <c r="V54" s="913"/>
      <c r="W54" s="913"/>
      <c r="X54" s="913"/>
      <c r="Y54" s="913"/>
      <c r="Z54" s="913"/>
    </row>
    <row r="55" spans="1:26" s="306" customFormat="1" ht="16.5" customHeight="1" x14ac:dyDescent="0.2">
      <c r="A55" s="941" t="s">
        <v>846</v>
      </c>
      <c r="B55" s="306">
        <f>B53-B54</f>
        <v>0</v>
      </c>
      <c r="C55" s="306">
        <f>C53-C54</f>
        <v>0</v>
      </c>
      <c r="D55" s="306">
        <f>D53-D54</f>
        <v>0</v>
      </c>
      <c r="E55" s="306">
        <f>E53-E54</f>
        <v>0</v>
      </c>
      <c r="F55" s="306">
        <f>F53-F54</f>
        <v>0</v>
      </c>
      <c r="G55" s="1204"/>
      <c r="H55" s="1204"/>
      <c r="I55" s="1204"/>
      <c r="J55" s="1204"/>
      <c r="K55" s="1204"/>
      <c r="L55" s="1204"/>
      <c r="M55" s="1204"/>
      <c r="N55" s="1204"/>
      <c r="O55" s="1204"/>
      <c r="P55" s="1204"/>
      <c r="Q55" s="1204"/>
      <c r="R55" s="1204"/>
      <c r="S55" s="1204"/>
      <c r="T55" s="1204"/>
      <c r="U55" s="1204"/>
      <c r="V55" s="1204"/>
      <c r="W55" s="1204"/>
      <c r="X55" s="1204"/>
      <c r="Y55" s="1204"/>
      <c r="Z55" s="1204"/>
    </row>
    <row r="56" spans="1:26" s="892" customFormat="1" ht="16.5" customHeight="1" x14ac:dyDescent="0.2">
      <c r="A56" s="932" t="s">
        <v>847</v>
      </c>
      <c r="B56" s="892">
        <f>ROUND(B55*B49,0)</f>
        <v>0</v>
      </c>
      <c r="C56" s="892">
        <f>ROUND(C55*C49,0)</f>
        <v>0</v>
      </c>
      <c r="D56" s="892">
        <f>ROUND(D55*D49,0)</f>
        <v>0</v>
      </c>
      <c r="E56" s="892">
        <f>ROUND(E55*E49,0)</f>
        <v>0</v>
      </c>
      <c r="F56" s="892">
        <f>ROUND(F55*F49,0)</f>
        <v>0</v>
      </c>
      <c r="G56" s="900"/>
      <c r="H56" s="900"/>
      <c r="I56" s="900"/>
      <c r="J56" s="900"/>
      <c r="K56" s="900"/>
      <c r="L56" s="900"/>
      <c r="M56" s="900"/>
      <c r="N56" s="900"/>
      <c r="O56" s="900"/>
      <c r="P56" s="900"/>
      <c r="Q56" s="900"/>
      <c r="R56" s="900"/>
      <c r="S56" s="900"/>
      <c r="T56" s="900"/>
      <c r="U56" s="900"/>
      <c r="V56" s="900"/>
      <c r="W56" s="900"/>
      <c r="X56" s="900"/>
      <c r="Y56" s="900"/>
      <c r="Z56" s="900"/>
    </row>
    <row r="57" spans="1:26" s="943" customFormat="1" ht="16.5" customHeight="1" thickBot="1" x14ac:dyDescent="0.25">
      <c r="A57" s="942" t="s">
        <v>848</v>
      </c>
      <c r="B57" s="943">
        <f>B55-B56</f>
        <v>0</v>
      </c>
      <c r="C57" s="943">
        <f>C55-C56</f>
        <v>0</v>
      </c>
      <c r="D57" s="943">
        <f>D55-D56</f>
        <v>0</v>
      </c>
      <c r="E57" s="943">
        <f>E55-E56</f>
        <v>0</v>
      </c>
      <c r="F57" s="943">
        <f>F55-F56</f>
        <v>0</v>
      </c>
      <c r="G57" s="977"/>
      <c r="H57" s="977"/>
      <c r="I57" s="977"/>
      <c r="J57" s="977"/>
      <c r="K57" s="977"/>
      <c r="L57" s="977"/>
      <c r="M57" s="977"/>
      <c r="N57" s="977"/>
      <c r="O57" s="977"/>
      <c r="P57" s="977"/>
      <c r="Q57" s="977"/>
      <c r="R57" s="977"/>
      <c r="S57" s="977"/>
      <c r="T57" s="977"/>
      <c r="U57" s="977"/>
      <c r="V57" s="977"/>
      <c r="W57" s="977"/>
      <c r="X57" s="977"/>
      <c r="Y57" s="977"/>
      <c r="Z57" s="977"/>
    </row>
    <row r="58" spans="1:26" s="857" customFormat="1" ht="9" customHeight="1" x14ac:dyDescent="0.2">
      <c r="G58" s="1169"/>
      <c r="H58" s="1169"/>
      <c r="I58" s="1169"/>
      <c r="J58" s="1169"/>
      <c r="K58" s="1169"/>
      <c r="L58" s="1169"/>
      <c r="M58" s="1169"/>
      <c r="N58" s="1169"/>
      <c r="O58" s="1169"/>
      <c r="P58" s="1169"/>
      <c r="Q58" s="1169"/>
      <c r="R58" s="1169"/>
      <c r="S58" s="1169"/>
      <c r="T58" s="1169"/>
      <c r="U58" s="1169"/>
      <c r="V58" s="1169"/>
      <c r="W58" s="1169"/>
      <c r="X58" s="1169"/>
      <c r="Y58" s="1169"/>
      <c r="Z58" s="1169"/>
    </row>
    <row r="59" spans="1:26" s="819" customFormat="1" ht="16.5" customHeight="1" x14ac:dyDescent="0.2">
      <c r="A59" s="898" t="s">
        <v>891</v>
      </c>
    </row>
    <row r="60" spans="1:26" s="66" customFormat="1" ht="16.5" customHeight="1" x14ac:dyDescent="0.2">
      <c r="A60" s="66" t="s">
        <v>841</v>
      </c>
      <c r="B60" s="66">
        <f>IF(B54-B51&gt;0,B54-B51,0)</f>
        <v>0</v>
      </c>
      <c r="C60" s="66">
        <f>IF(C54-C51&gt;0,C54-C51,0)</f>
        <v>0</v>
      </c>
      <c r="D60" s="66">
        <f>IF(D54-D51&gt;0,D54-D51,0)</f>
        <v>0</v>
      </c>
      <c r="E60" s="66">
        <f>IF(E54-E51&gt;0,E54-E51,0)</f>
        <v>0</v>
      </c>
      <c r="F60" s="66">
        <f>IF(F54-F51&gt;0,F54-F51,0)</f>
        <v>0</v>
      </c>
      <c r="G60" s="726"/>
      <c r="H60" s="726"/>
      <c r="I60" s="726"/>
      <c r="J60" s="726"/>
      <c r="K60" s="726"/>
      <c r="L60" s="726"/>
      <c r="M60" s="726"/>
      <c r="N60" s="726"/>
      <c r="O60" s="726"/>
      <c r="P60" s="726"/>
      <c r="Q60" s="726"/>
      <c r="R60" s="726"/>
      <c r="S60" s="726"/>
      <c r="T60" s="726"/>
      <c r="U60" s="726"/>
      <c r="V60" s="726"/>
      <c r="W60" s="726"/>
      <c r="X60" s="726"/>
      <c r="Y60" s="726"/>
      <c r="Z60" s="726"/>
    </row>
    <row r="61" spans="1:26" s="66" customFormat="1" ht="16.5" customHeight="1" x14ac:dyDescent="0.2">
      <c r="A61" s="66" t="s">
        <v>903</v>
      </c>
      <c r="B61" s="66">
        <f t="shared" ref="B61:F62" si="0">IF(B56&gt;0,B56,0)</f>
        <v>0</v>
      </c>
      <c r="C61" s="66">
        <f t="shared" si="0"/>
        <v>0</v>
      </c>
      <c r="D61" s="66">
        <f t="shared" si="0"/>
        <v>0</v>
      </c>
      <c r="E61" s="66">
        <f t="shared" si="0"/>
        <v>0</v>
      </c>
      <c r="F61" s="66">
        <f t="shared" si="0"/>
        <v>0</v>
      </c>
      <c r="G61" s="726"/>
      <c r="H61" s="726"/>
      <c r="I61" s="726"/>
      <c r="J61" s="726"/>
      <c r="K61" s="726"/>
      <c r="L61" s="726"/>
      <c r="M61" s="726"/>
      <c r="N61" s="726"/>
      <c r="O61" s="726"/>
      <c r="P61" s="726"/>
      <c r="Q61" s="726"/>
      <c r="R61" s="726"/>
      <c r="S61" s="726"/>
      <c r="T61" s="726"/>
      <c r="U61" s="726"/>
      <c r="V61" s="726"/>
      <c r="W61" s="726"/>
      <c r="X61" s="726"/>
      <c r="Y61" s="726"/>
      <c r="Z61" s="726"/>
    </row>
    <row r="62" spans="1:26" s="66" customFormat="1" ht="16.5" customHeight="1" x14ac:dyDescent="0.2">
      <c r="A62" s="66" t="s">
        <v>902</v>
      </c>
      <c r="B62" s="66">
        <f t="shared" si="0"/>
        <v>0</v>
      </c>
      <c r="C62" s="66">
        <f t="shared" si="0"/>
        <v>0</v>
      </c>
      <c r="D62" s="66">
        <f t="shared" si="0"/>
        <v>0</v>
      </c>
      <c r="E62" s="66">
        <f t="shared" si="0"/>
        <v>0</v>
      </c>
      <c r="F62" s="66">
        <f t="shared" si="0"/>
        <v>0</v>
      </c>
      <c r="G62" s="726"/>
      <c r="H62" s="726"/>
      <c r="I62" s="726"/>
      <c r="J62" s="726"/>
      <c r="K62" s="726"/>
      <c r="L62" s="726"/>
      <c r="M62" s="726"/>
      <c r="N62" s="726"/>
      <c r="O62" s="726"/>
      <c r="P62" s="726"/>
      <c r="Q62" s="726"/>
      <c r="R62" s="726"/>
      <c r="S62" s="726"/>
      <c r="T62" s="726"/>
      <c r="U62" s="726"/>
      <c r="V62" s="726"/>
      <c r="W62" s="726"/>
      <c r="X62" s="726"/>
      <c r="Y62" s="726"/>
      <c r="Z62" s="726"/>
    </row>
    <row r="63" spans="1:26" s="66" customFormat="1" ht="16.5" customHeight="1" x14ac:dyDescent="0.2">
      <c r="A63" s="66" t="s">
        <v>839</v>
      </c>
      <c r="B63" s="66">
        <f>IF(B57&lt;0,B57,0)</f>
        <v>0</v>
      </c>
      <c r="C63" s="66">
        <f>IF(C57&lt;0,C57,0)</f>
        <v>0</v>
      </c>
      <c r="D63" s="66">
        <f>IF(D57&lt;0,D57,0)</f>
        <v>0</v>
      </c>
      <c r="E63" s="66">
        <f>IF(E57&lt;0,E57,0)</f>
        <v>0</v>
      </c>
      <c r="F63" s="66">
        <f>IF(F57&lt;0,F57,0)</f>
        <v>0</v>
      </c>
      <c r="G63" s="726"/>
      <c r="H63" s="726"/>
      <c r="I63" s="726"/>
      <c r="J63" s="726"/>
      <c r="K63" s="726"/>
      <c r="L63" s="726"/>
      <c r="M63" s="726"/>
      <c r="N63" s="726"/>
      <c r="O63" s="726"/>
      <c r="P63" s="726"/>
      <c r="Q63" s="726"/>
      <c r="R63" s="726"/>
      <c r="S63" s="726"/>
      <c r="T63" s="726"/>
      <c r="U63" s="726"/>
      <c r="V63" s="726"/>
      <c r="W63" s="726"/>
      <c r="X63" s="726"/>
      <c r="Y63" s="726"/>
      <c r="Z63" s="726"/>
    </row>
    <row r="64" spans="1:26" s="66" customFormat="1" ht="16.5" customHeight="1" x14ac:dyDescent="0.2">
      <c r="A64" s="66" t="s">
        <v>840</v>
      </c>
      <c r="B64" s="66">
        <f>IF(B56&lt;0,B56,0)</f>
        <v>0</v>
      </c>
      <c r="C64" s="66">
        <f>IF(C56&lt;0,C56,0)</f>
        <v>0</v>
      </c>
      <c r="D64" s="66">
        <f>IF(D56&lt;0,D56,0)</f>
        <v>0</v>
      </c>
      <c r="E64" s="66">
        <f>IF(E56&lt;0,E56,0)</f>
        <v>0</v>
      </c>
      <c r="F64" s="66">
        <f>IF(F56&lt;0,F56,0)</f>
        <v>0</v>
      </c>
      <c r="G64" s="726"/>
      <c r="H64" s="726"/>
      <c r="I64" s="726"/>
      <c r="J64" s="726"/>
      <c r="K64" s="726"/>
      <c r="L64" s="726"/>
      <c r="M64" s="726"/>
      <c r="N64" s="726"/>
      <c r="O64" s="726"/>
      <c r="P64" s="726"/>
      <c r="Q64" s="726"/>
      <c r="R64" s="726"/>
      <c r="S64" s="726"/>
      <c r="T64" s="726"/>
      <c r="U64" s="726"/>
      <c r="V64" s="726"/>
      <c r="W64" s="726"/>
      <c r="X64" s="726"/>
      <c r="Y64" s="726"/>
      <c r="Z64" s="726"/>
    </row>
    <row r="65" spans="1:26" s="32" customFormat="1" ht="16.5" customHeight="1" x14ac:dyDescent="0.2">
      <c r="A65" s="32" t="s">
        <v>906</v>
      </c>
      <c r="B65" s="32">
        <f>-B52</f>
        <v>0</v>
      </c>
      <c r="C65" s="32">
        <f>-C52</f>
        <v>0</v>
      </c>
      <c r="D65" s="32">
        <f>-D52</f>
        <v>0</v>
      </c>
      <c r="E65" s="32">
        <f>-E52</f>
        <v>0</v>
      </c>
      <c r="F65" s="32">
        <f>-F52</f>
        <v>0</v>
      </c>
      <c r="G65" s="718"/>
      <c r="H65" s="718"/>
      <c r="I65" s="718"/>
      <c r="J65" s="718"/>
      <c r="K65" s="718"/>
      <c r="L65" s="718"/>
      <c r="M65" s="718"/>
      <c r="N65" s="718"/>
      <c r="O65" s="718"/>
      <c r="P65" s="718"/>
      <c r="Q65" s="718"/>
      <c r="R65" s="718"/>
      <c r="S65" s="718"/>
      <c r="T65" s="718"/>
      <c r="U65" s="718"/>
      <c r="V65" s="718"/>
      <c r="W65" s="718"/>
      <c r="X65" s="718"/>
      <c r="Y65" s="718"/>
      <c r="Z65" s="718"/>
    </row>
    <row r="66" spans="1:26" s="687" customFormat="1" ht="16.5" customHeight="1" thickBot="1" x14ac:dyDescent="0.25">
      <c r="A66" s="890" t="s">
        <v>817</v>
      </c>
      <c r="B66" s="37">
        <f>SUM(B60:B65)</f>
        <v>0</v>
      </c>
      <c r="C66" s="37">
        <f>SUM(C60:C65)</f>
        <v>0</v>
      </c>
      <c r="D66" s="37">
        <f>SUM(D60:D65)</f>
        <v>0</v>
      </c>
      <c r="E66" s="37">
        <f>SUM(E60:E65)</f>
        <v>0</v>
      </c>
      <c r="F66" s="37">
        <f>SUM(F60:F65)</f>
        <v>0</v>
      </c>
    </row>
    <row r="68" spans="1:26" s="685" customFormat="1" ht="16.5" customHeight="1" x14ac:dyDescent="0.2"/>
    <row r="69" spans="1:26" s="710" customFormat="1" ht="16.5" customHeight="1" x14ac:dyDescent="0.2">
      <c r="A69" s="891" t="s">
        <v>849</v>
      </c>
    </row>
    <row r="70" spans="1:26" s="857" customFormat="1" ht="9" customHeight="1" x14ac:dyDescent="0.2">
      <c r="G70" s="1169"/>
      <c r="H70" s="1169"/>
      <c r="I70" s="1169"/>
      <c r="J70" s="1169"/>
      <c r="K70" s="1169"/>
      <c r="L70" s="1169"/>
      <c r="M70" s="1169"/>
      <c r="N70" s="1169"/>
      <c r="O70" s="1169"/>
      <c r="P70" s="1169"/>
      <c r="Q70" s="1169"/>
      <c r="R70" s="1169"/>
      <c r="S70" s="1169"/>
      <c r="T70" s="1169"/>
      <c r="U70" s="1169"/>
      <c r="V70" s="1169"/>
      <c r="W70" s="1169"/>
      <c r="X70" s="1169"/>
      <c r="Y70" s="1169"/>
      <c r="Z70" s="1169"/>
    </row>
    <row r="71" spans="1:26" s="857" customFormat="1" ht="16.5" customHeight="1" x14ac:dyDescent="0.2">
      <c r="A71" s="246" t="s">
        <v>241</v>
      </c>
      <c r="B71" s="50" t="s">
        <v>493</v>
      </c>
      <c r="C71" s="50"/>
      <c r="D71" s="50"/>
      <c r="E71" s="50"/>
      <c r="F71" s="50"/>
      <c r="G71" s="1169"/>
      <c r="H71" s="1169"/>
      <c r="I71" s="1169"/>
      <c r="J71" s="1169"/>
      <c r="K71" s="1169"/>
      <c r="L71" s="1169"/>
      <c r="M71" s="1169"/>
      <c r="N71" s="1169"/>
      <c r="O71" s="1169"/>
      <c r="P71" s="1169"/>
      <c r="Q71" s="1169"/>
      <c r="R71" s="1169"/>
      <c r="S71" s="1169"/>
      <c r="T71" s="1169"/>
      <c r="U71" s="1169"/>
      <c r="V71" s="1169"/>
      <c r="W71" s="1169"/>
      <c r="X71" s="1169"/>
      <c r="Y71" s="1169"/>
      <c r="Z71" s="1169"/>
    </row>
    <row r="72" spans="1:26" s="857" customFormat="1" ht="16.5" customHeight="1" x14ac:dyDescent="0.2">
      <c r="B72" s="644">
        <f>'BS Analysis Adjustments'!B1</f>
        <v>2011</v>
      </c>
      <c r="C72" s="644">
        <f>'BS Analysis Adjustments'!L1</f>
        <v>2012</v>
      </c>
      <c r="D72" s="644">
        <f>'BS Analysis Adjustments'!V1</f>
        <v>2013</v>
      </c>
      <c r="E72" s="644">
        <f>'BS Analysis Adjustments'!AF1</f>
        <v>2014</v>
      </c>
      <c r="F72" s="644">
        <f>'BS Analysis Adjustments'!AP1</f>
        <v>2015</v>
      </c>
      <c r="G72" s="1169"/>
      <c r="H72" s="1169"/>
      <c r="I72" s="1169"/>
      <c r="J72" s="1169"/>
      <c r="K72" s="1169"/>
      <c r="L72" s="1169"/>
      <c r="M72" s="1169"/>
      <c r="N72" s="1169"/>
      <c r="O72" s="1169"/>
      <c r="P72" s="1169"/>
      <c r="Q72" s="1169"/>
      <c r="R72" s="1169"/>
      <c r="S72" s="1169"/>
      <c r="T72" s="1169"/>
      <c r="U72" s="1169"/>
      <c r="V72" s="1169"/>
      <c r="W72" s="1169"/>
      <c r="X72" s="1169"/>
      <c r="Y72" s="1169"/>
      <c r="Z72" s="1169"/>
    </row>
    <row r="73" spans="1:26" s="920" customFormat="1" ht="16.5" customHeight="1" x14ac:dyDescent="0.2">
      <c r="A73" s="921" t="s">
        <v>416</v>
      </c>
      <c r="G73" s="1193"/>
      <c r="H73" s="1193"/>
      <c r="I73" s="1193"/>
      <c r="J73" s="1193"/>
      <c r="K73" s="1193"/>
      <c r="L73" s="1193"/>
      <c r="M73" s="1193"/>
      <c r="N73" s="1193"/>
      <c r="O73" s="1193"/>
      <c r="P73" s="1193"/>
      <c r="Q73" s="1193"/>
      <c r="R73" s="1193"/>
      <c r="S73" s="1193"/>
      <c r="T73" s="1193"/>
      <c r="U73" s="1193"/>
      <c r="V73" s="1193"/>
      <c r="W73" s="1193"/>
      <c r="X73" s="1193"/>
      <c r="Y73" s="1193"/>
      <c r="Z73" s="1193"/>
    </row>
    <row r="74" spans="1:26" s="922" customFormat="1" ht="16.5" customHeight="1" x14ac:dyDescent="0.2">
      <c r="A74" s="1244" t="s">
        <v>5</v>
      </c>
      <c r="B74" s="1245"/>
      <c r="C74" s="1245"/>
      <c r="D74" s="1245"/>
      <c r="E74" s="1245"/>
      <c r="F74" s="1245">
        <v>24</v>
      </c>
      <c r="G74" s="1203"/>
      <c r="H74" s="1203"/>
      <c r="I74" s="1203"/>
      <c r="J74" s="1203"/>
      <c r="K74" s="1203"/>
      <c r="L74" s="1203"/>
      <c r="M74" s="1203"/>
      <c r="N74" s="1203"/>
      <c r="O74" s="1203"/>
      <c r="P74" s="1203"/>
      <c r="Q74" s="1203"/>
      <c r="R74" s="1203"/>
      <c r="S74" s="1203"/>
      <c r="T74" s="1203"/>
      <c r="U74" s="1203"/>
      <c r="V74" s="1203"/>
      <c r="W74" s="1203"/>
      <c r="X74" s="1203"/>
      <c r="Y74" s="1203"/>
      <c r="Z74" s="1203"/>
    </row>
    <row r="75" spans="1:26" s="922" customFormat="1" ht="16.5" customHeight="1" x14ac:dyDescent="0.2">
      <c r="A75" s="1244" t="s">
        <v>1090</v>
      </c>
      <c r="B75" s="1245"/>
      <c r="C75" s="1245"/>
      <c r="D75" s="1245"/>
      <c r="E75" s="1245"/>
      <c r="F75" s="1245">
        <v>23</v>
      </c>
      <c r="G75" s="1203"/>
      <c r="H75" s="1203"/>
      <c r="I75" s="1203"/>
      <c r="J75" s="1203"/>
      <c r="K75" s="1203"/>
      <c r="L75" s="1203"/>
      <c r="M75" s="1203"/>
      <c r="N75" s="1203"/>
      <c r="O75" s="1203"/>
      <c r="P75" s="1203"/>
      <c r="Q75" s="1203"/>
      <c r="R75" s="1203"/>
      <c r="S75" s="1203"/>
      <c r="T75" s="1203"/>
      <c r="U75" s="1203"/>
      <c r="V75" s="1203"/>
      <c r="W75" s="1203"/>
      <c r="X75" s="1203"/>
      <c r="Y75" s="1203"/>
      <c r="Z75" s="1203"/>
    </row>
    <row r="76" spans="1:26" s="922" customFormat="1" ht="16.5" customHeight="1" x14ac:dyDescent="0.2">
      <c r="A76" s="1244" t="s">
        <v>4</v>
      </c>
      <c r="B76" s="1245"/>
      <c r="C76" s="1245"/>
      <c r="D76" s="1245"/>
      <c r="E76" s="1245"/>
      <c r="F76" s="1245">
        <v>12</v>
      </c>
      <c r="G76" s="1203"/>
      <c r="H76" s="1203"/>
      <c r="I76" s="1203"/>
      <c r="J76" s="1203"/>
      <c r="K76" s="1203"/>
      <c r="L76" s="1203"/>
      <c r="M76" s="1203"/>
      <c r="N76" s="1203"/>
      <c r="O76" s="1203"/>
      <c r="P76" s="1203"/>
      <c r="Q76" s="1203"/>
      <c r="R76" s="1203"/>
      <c r="S76" s="1203"/>
      <c r="T76" s="1203"/>
      <c r="U76" s="1203"/>
      <c r="V76" s="1203"/>
      <c r="W76" s="1203"/>
      <c r="X76" s="1203"/>
      <c r="Y76" s="1203"/>
      <c r="Z76" s="1203"/>
    </row>
    <row r="77" spans="1:26" s="922" customFormat="1" ht="16.5" customHeight="1" x14ac:dyDescent="0.2">
      <c r="A77" s="935"/>
      <c r="G77" s="1203"/>
      <c r="H77" s="1203"/>
      <c r="I77" s="1203"/>
      <c r="J77" s="1203"/>
      <c r="K77" s="1203"/>
      <c r="L77" s="1203"/>
      <c r="M77" s="1203"/>
      <c r="N77" s="1203"/>
      <c r="O77" s="1203"/>
      <c r="P77" s="1203"/>
      <c r="Q77" s="1203"/>
      <c r="R77" s="1203"/>
      <c r="S77" s="1203"/>
      <c r="T77" s="1203"/>
      <c r="U77" s="1203"/>
      <c r="V77" s="1203"/>
      <c r="W77" s="1203"/>
      <c r="X77" s="1203"/>
      <c r="Y77" s="1203"/>
      <c r="Z77" s="1203"/>
    </row>
    <row r="78" spans="1:26" s="922" customFormat="1" ht="16.5" customHeight="1" x14ac:dyDescent="0.2">
      <c r="A78" s="935"/>
      <c r="G78" s="1203"/>
      <c r="H78" s="1203"/>
      <c r="I78" s="1203"/>
      <c r="J78" s="1203"/>
      <c r="K78" s="1203"/>
      <c r="L78" s="1203"/>
      <c r="M78" s="1203"/>
      <c r="N78" s="1203"/>
      <c r="O78" s="1203"/>
      <c r="P78" s="1203"/>
      <c r="Q78" s="1203"/>
      <c r="R78" s="1203"/>
      <c r="S78" s="1203"/>
      <c r="T78" s="1203"/>
      <c r="U78" s="1203"/>
      <c r="V78" s="1203"/>
      <c r="W78" s="1203"/>
      <c r="X78" s="1203"/>
      <c r="Y78" s="1203"/>
      <c r="Z78" s="1203"/>
    </row>
    <row r="79" spans="1:26" s="922" customFormat="1" ht="16.5" customHeight="1" x14ac:dyDescent="0.2">
      <c r="A79" s="935"/>
      <c r="G79" s="1203"/>
      <c r="H79" s="1203"/>
      <c r="I79" s="1203"/>
      <c r="J79" s="1203"/>
      <c r="K79" s="1203"/>
      <c r="L79" s="1203"/>
      <c r="M79" s="1203"/>
      <c r="N79" s="1203"/>
      <c r="O79" s="1203"/>
      <c r="P79" s="1203"/>
      <c r="Q79" s="1203"/>
      <c r="R79" s="1203"/>
      <c r="S79" s="1203"/>
      <c r="T79" s="1203"/>
      <c r="U79" s="1203"/>
      <c r="V79" s="1203"/>
      <c r="W79" s="1203"/>
      <c r="X79" s="1203"/>
      <c r="Y79" s="1203"/>
      <c r="Z79" s="1203"/>
    </row>
    <row r="80" spans="1:26" s="922" customFormat="1" ht="16.5" customHeight="1" x14ac:dyDescent="0.2">
      <c r="A80" s="935"/>
      <c r="G80" s="1203"/>
      <c r="H80" s="1203"/>
      <c r="I80" s="1203"/>
      <c r="J80" s="1203"/>
      <c r="K80" s="1203"/>
      <c r="L80" s="1203"/>
      <c r="M80" s="1203"/>
      <c r="N80" s="1203"/>
      <c r="O80" s="1203"/>
      <c r="P80" s="1203"/>
      <c r="Q80" s="1203"/>
      <c r="R80" s="1203"/>
      <c r="S80" s="1203"/>
      <c r="T80" s="1203"/>
      <c r="U80" s="1203"/>
      <c r="V80" s="1203"/>
      <c r="W80" s="1203"/>
      <c r="X80" s="1203"/>
      <c r="Y80" s="1203"/>
      <c r="Z80" s="1203"/>
    </row>
    <row r="81" spans="1:26" s="895" customFormat="1" ht="16.5" customHeight="1" x14ac:dyDescent="0.2">
      <c r="A81" s="919"/>
      <c r="G81" s="1201"/>
      <c r="H81" s="1201"/>
      <c r="I81" s="1201"/>
      <c r="J81" s="1201"/>
      <c r="K81" s="1201"/>
      <c r="L81" s="1201"/>
      <c r="M81" s="1201"/>
      <c r="N81" s="1201"/>
      <c r="O81" s="1201"/>
      <c r="P81" s="1201"/>
      <c r="Q81" s="1201"/>
      <c r="R81" s="1201"/>
      <c r="S81" s="1201"/>
      <c r="T81" s="1201"/>
      <c r="U81" s="1201"/>
      <c r="V81" s="1201"/>
      <c r="W81" s="1201"/>
      <c r="X81" s="1201"/>
      <c r="Y81" s="1201"/>
      <c r="Z81" s="1201"/>
    </row>
    <row r="82" spans="1:26" s="896" customFormat="1" ht="16.5" customHeight="1" x14ac:dyDescent="0.2">
      <c r="A82" s="934" t="s">
        <v>897</v>
      </c>
      <c r="G82" s="1202"/>
      <c r="H82" s="1202"/>
      <c r="I82" s="1202"/>
      <c r="J82" s="1202"/>
      <c r="K82" s="1202"/>
      <c r="L82" s="1202"/>
      <c r="M82" s="1202"/>
      <c r="N82" s="1202"/>
      <c r="O82" s="1202"/>
      <c r="P82" s="1202"/>
      <c r="Q82" s="1202"/>
      <c r="R82" s="1202"/>
      <c r="S82" s="1202"/>
      <c r="T82" s="1202"/>
      <c r="U82" s="1202"/>
      <c r="V82" s="1202"/>
      <c r="W82" s="1202"/>
      <c r="X82" s="1202"/>
      <c r="Y82" s="1202"/>
      <c r="Z82" s="1202"/>
    </row>
    <row r="83" spans="1:26" s="900" customFormat="1" ht="9" customHeight="1" x14ac:dyDescent="0.2">
      <c r="A83" s="945"/>
    </row>
    <row r="84" spans="1:26" s="683" customFormat="1" ht="16.5" customHeight="1" x14ac:dyDescent="0.2">
      <c r="A84" s="66" t="s">
        <v>863</v>
      </c>
      <c r="B84" s="290">
        <f>'IS Analysis Adjustments'!B26</f>
        <v>1119</v>
      </c>
      <c r="C84" s="290">
        <f>'IS Analysis Adjustments'!L26</f>
        <v>1185</v>
      </c>
      <c r="D84" s="290">
        <f>'IS Analysis Adjustments'!V26</f>
        <v>1189</v>
      </c>
      <c r="E84" s="290">
        <f>'IS Analysis Adjustments'!AF26</f>
        <v>1185</v>
      </c>
      <c r="F84" s="290">
        <f>'IS Analysis Adjustments'!AP26</f>
        <v>976</v>
      </c>
    </row>
    <row r="85" spans="1:26" s="857" customFormat="1" ht="16.5" customHeight="1" x14ac:dyDescent="0.2">
      <c r="A85" s="41" t="s">
        <v>864</v>
      </c>
      <c r="B85" s="290">
        <f>'IS Analysis Adjustments'!B27</f>
        <v>436</v>
      </c>
      <c r="C85" s="290">
        <f>'IS Analysis Adjustments'!L27</f>
        <v>450</v>
      </c>
      <c r="D85" s="290">
        <f>'IS Analysis Adjustments'!V27</f>
        <v>455</v>
      </c>
      <c r="E85" s="290">
        <f>'IS Analysis Adjustments'!AF27</f>
        <v>465</v>
      </c>
      <c r="F85" s="290">
        <f>'IS Analysis Adjustments'!AP27</f>
        <v>376</v>
      </c>
      <c r="G85" s="1169"/>
      <c r="H85" s="1169"/>
      <c r="I85" s="1169"/>
      <c r="J85" s="1169"/>
      <c r="K85" s="1169"/>
      <c r="L85" s="1169"/>
      <c r="M85" s="1169"/>
      <c r="N85" s="1169"/>
      <c r="O85" s="1169"/>
      <c r="P85" s="1169"/>
      <c r="Q85" s="1169"/>
      <c r="R85" s="1169"/>
      <c r="S85" s="1169"/>
      <c r="T85" s="1169"/>
      <c r="U85" s="1169"/>
      <c r="V85" s="1169"/>
      <c r="W85" s="1169"/>
      <c r="X85" s="1169"/>
      <c r="Y85" s="1169"/>
      <c r="Z85" s="1169"/>
    </row>
    <row r="86" spans="1:26" s="930" customFormat="1" ht="16.5" customHeight="1" x14ac:dyDescent="0.2">
      <c r="A86" s="929" t="s">
        <v>901</v>
      </c>
      <c r="B86" s="889">
        <f>B85/B84</f>
        <v>0.3896336014298481</v>
      </c>
      <c r="C86" s="889">
        <f>C85/C84</f>
        <v>0.379746835443038</v>
      </c>
      <c r="D86" s="889">
        <f>D85/D84</f>
        <v>0.3826745164003364</v>
      </c>
      <c r="E86" s="889">
        <f>E85/E84</f>
        <v>0.39240506329113922</v>
      </c>
      <c r="F86" s="889">
        <f>F85/F84</f>
        <v>0.38524590163934425</v>
      </c>
    </row>
    <row r="87" spans="1:26" s="857" customFormat="1" ht="9" customHeight="1" x14ac:dyDescent="0.2">
      <c r="A87" s="797"/>
      <c r="B87" s="924"/>
      <c r="C87" s="924"/>
      <c r="D87" s="924"/>
      <c r="E87" s="924"/>
      <c r="F87" s="924"/>
      <c r="G87" s="1169"/>
      <c r="H87" s="1169"/>
      <c r="I87" s="1169"/>
      <c r="J87" s="1169"/>
      <c r="K87" s="1169"/>
      <c r="L87" s="1169"/>
      <c r="M87" s="1169"/>
      <c r="N87" s="1169"/>
      <c r="O87" s="1169"/>
      <c r="P87" s="1169"/>
      <c r="Q87" s="1169"/>
      <c r="R87" s="1169"/>
      <c r="S87" s="1169"/>
      <c r="T87" s="1169"/>
      <c r="U87" s="1169"/>
      <c r="V87" s="1169"/>
      <c r="W87" s="1169"/>
      <c r="X87" s="1169"/>
      <c r="Y87" s="1169"/>
      <c r="Z87" s="1169"/>
    </row>
    <row r="88" spans="1:26" s="290" customFormat="1" ht="16.5" customHeight="1" x14ac:dyDescent="0.2">
      <c r="A88" s="939" t="s">
        <v>852</v>
      </c>
      <c r="B88" s="922">
        <v>0</v>
      </c>
      <c r="C88" s="922">
        <v>0</v>
      </c>
      <c r="D88" s="922">
        <v>0</v>
      </c>
      <c r="E88" s="922">
        <v>0</v>
      </c>
      <c r="F88" s="922">
        <v>59</v>
      </c>
      <c r="G88" s="1198"/>
      <c r="H88" s="1198"/>
      <c r="I88" s="1198"/>
      <c r="J88" s="1198"/>
      <c r="K88" s="1198"/>
      <c r="L88" s="1198"/>
      <c r="M88" s="1198"/>
      <c r="N88" s="1198"/>
      <c r="O88" s="1198"/>
      <c r="P88" s="1198"/>
      <c r="Q88" s="1198"/>
      <c r="R88" s="1198"/>
      <c r="S88" s="1198"/>
      <c r="T88" s="1198"/>
      <c r="U88" s="1198"/>
      <c r="V88" s="1198"/>
      <c r="W88" s="1198"/>
      <c r="X88" s="1198"/>
      <c r="Y88" s="1198"/>
      <c r="Z88" s="1198"/>
    </row>
    <row r="89" spans="1:26" s="291" customFormat="1" ht="16.5" customHeight="1" x14ac:dyDescent="0.2">
      <c r="A89" s="940" t="s">
        <v>853</v>
      </c>
      <c r="B89" s="937">
        <v>0</v>
      </c>
      <c r="C89" s="937">
        <v>0</v>
      </c>
      <c r="D89" s="937">
        <v>0</v>
      </c>
      <c r="E89" s="937">
        <v>0</v>
      </c>
      <c r="F89" s="937">
        <v>0</v>
      </c>
      <c r="G89" s="975"/>
      <c r="H89" s="975"/>
      <c r="I89" s="975"/>
      <c r="J89" s="975"/>
      <c r="K89" s="975"/>
      <c r="L89" s="975"/>
      <c r="M89" s="975"/>
      <c r="N89" s="975"/>
      <c r="O89" s="975"/>
      <c r="P89" s="975"/>
      <c r="Q89" s="975"/>
      <c r="R89" s="975"/>
      <c r="S89" s="975"/>
      <c r="T89" s="975"/>
      <c r="U89" s="975"/>
      <c r="V89" s="975"/>
      <c r="W89" s="975"/>
      <c r="X89" s="975"/>
      <c r="Y89" s="975"/>
      <c r="Z89" s="975"/>
    </row>
    <row r="90" spans="1:26" s="306" customFormat="1" ht="16.5" customHeight="1" x14ac:dyDescent="0.2">
      <c r="A90" s="941" t="s">
        <v>850</v>
      </c>
      <c r="B90" s="306">
        <f>SUM(B88:B89)</f>
        <v>0</v>
      </c>
      <c r="C90" s="306">
        <f>SUM(C88:C89)</f>
        <v>0</v>
      </c>
      <c r="D90" s="306">
        <f>SUM(D88:D89)</f>
        <v>0</v>
      </c>
      <c r="E90" s="306">
        <f>SUM(E88:E89)</f>
        <v>0</v>
      </c>
      <c r="F90" s="306">
        <f>SUM(F88:F89)</f>
        <v>59</v>
      </c>
      <c r="G90" s="1204"/>
      <c r="H90" s="1204"/>
      <c r="I90" s="1204"/>
      <c r="J90" s="1204"/>
      <c r="K90" s="1204"/>
      <c r="L90" s="1204"/>
      <c r="M90" s="1204"/>
      <c r="N90" s="1204"/>
      <c r="O90" s="1204"/>
      <c r="P90" s="1204"/>
      <c r="Q90" s="1204"/>
      <c r="R90" s="1204"/>
      <c r="S90" s="1204"/>
      <c r="T90" s="1204"/>
      <c r="U90" s="1204"/>
      <c r="V90" s="1204"/>
      <c r="W90" s="1204"/>
      <c r="X90" s="1204"/>
      <c r="Y90" s="1204"/>
      <c r="Z90" s="1204"/>
    </row>
    <row r="91" spans="1:26" s="892" customFormat="1" ht="16.5" customHeight="1" x14ac:dyDescent="0.2">
      <c r="A91" s="932" t="s">
        <v>847</v>
      </c>
      <c r="B91" s="892">
        <f>ROUND(B90*B86,0)</f>
        <v>0</v>
      </c>
      <c r="C91" s="892">
        <f>ROUND(C90*C86,0)</f>
        <v>0</v>
      </c>
      <c r="D91" s="892">
        <f>ROUND(D90*D86,0)</f>
        <v>0</v>
      </c>
      <c r="E91" s="892">
        <f>ROUND(E90*E86,0)</f>
        <v>0</v>
      </c>
      <c r="F91" s="892">
        <f>ROUND(F90*F86,0)</f>
        <v>23</v>
      </c>
      <c r="G91" s="900"/>
      <c r="H91" s="900"/>
      <c r="I91" s="900"/>
      <c r="J91" s="900"/>
      <c r="K91" s="900"/>
      <c r="L91" s="900"/>
      <c r="M91" s="900"/>
      <c r="N91" s="900"/>
      <c r="O91" s="900"/>
      <c r="P91" s="900"/>
      <c r="Q91" s="900"/>
      <c r="R91" s="900"/>
      <c r="S91" s="900"/>
      <c r="T91" s="900"/>
      <c r="U91" s="900"/>
      <c r="V91" s="900"/>
      <c r="W91" s="900"/>
      <c r="X91" s="900"/>
      <c r="Y91" s="900"/>
      <c r="Z91" s="900"/>
    </row>
    <row r="92" spans="1:26" s="943" customFormat="1" ht="16.5" customHeight="1" thickBot="1" x14ac:dyDescent="0.25">
      <c r="A92" s="942" t="s">
        <v>848</v>
      </c>
      <c r="B92" s="943">
        <f>B90-B91</f>
        <v>0</v>
      </c>
      <c r="C92" s="943">
        <f>C90-C91</f>
        <v>0</v>
      </c>
      <c r="D92" s="943">
        <f>D90-D91</f>
        <v>0</v>
      </c>
      <c r="E92" s="943">
        <f>E90-E91</f>
        <v>0</v>
      </c>
      <c r="F92" s="943">
        <f>F90-F91</f>
        <v>36</v>
      </c>
      <c r="G92" s="977"/>
      <c r="H92" s="977"/>
      <c r="I92" s="977"/>
      <c r="J92" s="977"/>
      <c r="K92" s="977"/>
      <c r="L92" s="977"/>
      <c r="M92" s="977"/>
      <c r="N92" s="977"/>
      <c r="O92" s="977"/>
      <c r="P92" s="977"/>
      <c r="Q92" s="977"/>
      <c r="R92" s="977"/>
      <c r="S92" s="977"/>
      <c r="T92" s="977"/>
      <c r="U92" s="977"/>
      <c r="V92" s="977"/>
      <c r="W92" s="977"/>
      <c r="X92" s="977"/>
      <c r="Y92" s="977"/>
      <c r="Z92" s="977"/>
    </row>
    <row r="93" spans="1:26" s="857" customFormat="1" ht="9" customHeight="1" x14ac:dyDescent="0.2">
      <c r="G93" s="1169"/>
      <c r="H93" s="1169"/>
      <c r="I93" s="1169"/>
      <c r="J93" s="1169"/>
      <c r="K93" s="1169"/>
      <c r="L93" s="1169"/>
      <c r="M93" s="1169"/>
      <c r="N93" s="1169"/>
      <c r="O93" s="1169"/>
      <c r="P93" s="1169"/>
      <c r="Q93" s="1169"/>
      <c r="R93" s="1169"/>
      <c r="S93" s="1169"/>
      <c r="T93" s="1169"/>
      <c r="U93" s="1169"/>
      <c r="V93" s="1169"/>
      <c r="W93" s="1169"/>
      <c r="X93" s="1169"/>
      <c r="Y93" s="1169"/>
      <c r="Z93" s="1169"/>
    </row>
    <row r="94" spans="1:26" s="819" customFormat="1" ht="16.5" customHeight="1" x14ac:dyDescent="0.2">
      <c r="A94" s="898" t="s">
        <v>891</v>
      </c>
    </row>
    <row r="95" spans="1:26" s="66" customFormat="1" ht="16.5" customHeight="1" x14ac:dyDescent="0.2">
      <c r="A95" s="66" t="s">
        <v>851</v>
      </c>
      <c r="B95" s="66">
        <f>-B89</f>
        <v>0</v>
      </c>
      <c r="C95" s="66">
        <f>-C89</f>
        <v>0</v>
      </c>
      <c r="D95" s="66">
        <f>-D89</f>
        <v>0</v>
      </c>
      <c r="E95" s="66">
        <f>-E89</f>
        <v>0</v>
      </c>
      <c r="F95" s="66">
        <f>-F89</f>
        <v>0</v>
      </c>
      <c r="G95" s="726"/>
      <c r="H95" s="726"/>
      <c r="I95" s="726"/>
      <c r="J95" s="726"/>
      <c r="K95" s="726"/>
      <c r="L95" s="726"/>
      <c r="M95" s="726"/>
      <c r="N95" s="726"/>
      <c r="O95" s="726"/>
      <c r="P95" s="726"/>
      <c r="Q95" s="726"/>
      <c r="R95" s="726"/>
      <c r="S95" s="726"/>
      <c r="T95" s="726"/>
      <c r="U95" s="726"/>
      <c r="V95" s="726"/>
      <c r="W95" s="726"/>
      <c r="X95" s="726"/>
      <c r="Y95" s="726"/>
      <c r="Z95" s="726"/>
    </row>
    <row r="96" spans="1:26" s="66" customFormat="1" ht="16.5" customHeight="1" x14ac:dyDescent="0.2">
      <c r="A96" s="66" t="s">
        <v>903</v>
      </c>
      <c r="B96" s="66">
        <f t="shared" ref="B96:F97" si="1">IF(B91&gt;0,B91,0)</f>
        <v>0</v>
      </c>
      <c r="C96" s="66">
        <f t="shared" si="1"/>
        <v>0</v>
      </c>
      <c r="D96" s="66">
        <f t="shared" si="1"/>
        <v>0</v>
      </c>
      <c r="E96" s="66">
        <f t="shared" si="1"/>
        <v>0</v>
      </c>
      <c r="F96" s="66">
        <f t="shared" si="1"/>
        <v>23</v>
      </c>
      <c r="G96" s="726"/>
      <c r="H96" s="726"/>
      <c r="I96" s="726"/>
      <c r="J96" s="726"/>
      <c r="K96" s="726"/>
      <c r="L96" s="726"/>
      <c r="M96" s="726"/>
      <c r="N96" s="726"/>
      <c r="O96" s="726"/>
      <c r="P96" s="726"/>
      <c r="Q96" s="726"/>
      <c r="R96" s="726"/>
      <c r="S96" s="726"/>
      <c r="T96" s="726"/>
      <c r="U96" s="726"/>
      <c r="V96" s="726"/>
      <c r="W96" s="726"/>
      <c r="X96" s="726"/>
      <c r="Y96" s="726"/>
      <c r="Z96" s="726"/>
    </row>
    <row r="97" spans="1:26" s="66" customFormat="1" ht="16.5" customHeight="1" x14ac:dyDescent="0.2">
      <c r="A97" s="66" t="s">
        <v>902</v>
      </c>
      <c r="B97" s="66">
        <f t="shared" si="1"/>
        <v>0</v>
      </c>
      <c r="C97" s="66">
        <f t="shared" si="1"/>
        <v>0</v>
      </c>
      <c r="D97" s="66">
        <f t="shared" si="1"/>
        <v>0</v>
      </c>
      <c r="E97" s="66">
        <f t="shared" si="1"/>
        <v>0</v>
      </c>
      <c r="F97" s="66">
        <f t="shared" si="1"/>
        <v>36</v>
      </c>
      <c r="G97" s="726"/>
      <c r="H97" s="726"/>
      <c r="I97" s="726"/>
      <c r="J97" s="726"/>
      <c r="K97" s="726"/>
      <c r="L97" s="726"/>
      <c r="M97" s="726"/>
      <c r="N97" s="726"/>
      <c r="O97" s="726"/>
      <c r="P97" s="726"/>
      <c r="Q97" s="726"/>
      <c r="R97" s="726"/>
      <c r="S97" s="726"/>
      <c r="T97" s="726"/>
      <c r="U97" s="726"/>
      <c r="V97" s="726"/>
      <c r="W97" s="726"/>
      <c r="X97" s="726"/>
      <c r="Y97" s="726"/>
      <c r="Z97" s="726"/>
    </row>
    <row r="98" spans="1:26" s="66" customFormat="1" ht="16.5" customHeight="1" x14ac:dyDescent="0.2">
      <c r="A98" s="66" t="s">
        <v>839</v>
      </c>
      <c r="B98" s="66">
        <f>IF(B92&lt;0,B92,0)</f>
        <v>0</v>
      </c>
      <c r="C98" s="66">
        <f>IF(C92&lt;0,C92,0)</f>
        <v>0</v>
      </c>
      <c r="D98" s="66">
        <f>IF(D92&lt;0,D92,0)</f>
        <v>0</v>
      </c>
      <c r="E98" s="66">
        <f>IF(E92&lt;0,E92,0)</f>
        <v>0</v>
      </c>
      <c r="F98" s="66">
        <f>IF(F92&lt;0,F92,0)</f>
        <v>0</v>
      </c>
      <c r="G98" s="726"/>
      <c r="H98" s="726"/>
      <c r="I98" s="726"/>
      <c r="J98" s="726"/>
      <c r="K98" s="726"/>
      <c r="L98" s="726"/>
      <c r="M98" s="726"/>
      <c r="N98" s="726"/>
      <c r="O98" s="726"/>
      <c r="P98" s="726"/>
      <c r="Q98" s="726"/>
      <c r="R98" s="726"/>
      <c r="S98" s="726"/>
      <c r="T98" s="726"/>
      <c r="U98" s="726"/>
      <c r="V98" s="726"/>
      <c r="W98" s="726"/>
      <c r="X98" s="726"/>
      <c r="Y98" s="726"/>
      <c r="Z98" s="726"/>
    </row>
    <row r="99" spans="1:26" s="66" customFormat="1" ht="16.5" customHeight="1" x14ac:dyDescent="0.2">
      <c r="A99" s="66" t="s">
        <v>840</v>
      </c>
      <c r="B99" s="66">
        <f>IF(B91&lt;0,B91,0)</f>
        <v>0</v>
      </c>
      <c r="C99" s="66">
        <f>IF(C91&lt;0,C91,0)</f>
        <v>0</v>
      </c>
      <c r="D99" s="66">
        <f>IF(D91&lt;0,D91,0)</f>
        <v>0</v>
      </c>
      <c r="E99" s="66">
        <f>IF(E91&lt;0,E91,0)</f>
        <v>0</v>
      </c>
      <c r="F99" s="66">
        <f>IF(F91&lt;0,F91,0)</f>
        <v>0</v>
      </c>
      <c r="G99" s="726"/>
      <c r="H99" s="726"/>
      <c r="I99" s="726"/>
      <c r="J99" s="726"/>
      <c r="K99" s="726"/>
      <c r="L99" s="726"/>
      <c r="M99" s="726"/>
      <c r="N99" s="726"/>
      <c r="O99" s="726"/>
      <c r="P99" s="726"/>
      <c r="Q99" s="726"/>
      <c r="R99" s="726"/>
      <c r="S99" s="726"/>
      <c r="T99" s="726"/>
      <c r="U99" s="726"/>
      <c r="V99" s="726"/>
      <c r="W99" s="726"/>
      <c r="X99" s="726"/>
      <c r="Y99" s="726"/>
      <c r="Z99" s="726"/>
    </row>
    <row r="100" spans="1:26" s="32" customFormat="1" ht="16.5" customHeight="1" x14ac:dyDescent="0.2">
      <c r="A100" s="32" t="s">
        <v>937</v>
      </c>
      <c r="B100" s="32">
        <f>-B88</f>
        <v>0</v>
      </c>
      <c r="C100" s="32">
        <f>-C88</f>
        <v>0</v>
      </c>
      <c r="D100" s="32">
        <f>-D88</f>
        <v>0</v>
      </c>
      <c r="E100" s="32">
        <f>-E88</f>
        <v>0</v>
      </c>
      <c r="F100" s="32">
        <f>-F88</f>
        <v>-59</v>
      </c>
      <c r="G100" s="718"/>
      <c r="H100" s="718"/>
      <c r="I100" s="718"/>
      <c r="J100" s="718"/>
      <c r="K100" s="718"/>
      <c r="L100" s="718"/>
      <c r="M100" s="718"/>
      <c r="N100" s="718"/>
      <c r="O100" s="718"/>
      <c r="P100" s="718"/>
      <c r="Q100" s="718"/>
      <c r="R100" s="718"/>
      <c r="S100" s="718"/>
      <c r="T100" s="718"/>
      <c r="U100" s="718"/>
      <c r="V100" s="718"/>
      <c r="W100" s="718"/>
      <c r="X100" s="718"/>
      <c r="Y100" s="718"/>
      <c r="Z100" s="718"/>
    </row>
    <row r="101" spans="1:26" s="687" customFormat="1" ht="16.5" customHeight="1" thickBot="1" x14ac:dyDescent="0.25">
      <c r="A101" s="890" t="s">
        <v>817</v>
      </c>
      <c r="B101" s="37">
        <f>SUM(B95:B100)</f>
        <v>0</v>
      </c>
      <c r="C101" s="37">
        <f>SUM(C95:C100)</f>
        <v>0</v>
      </c>
      <c r="D101" s="37">
        <f>SUM(D95:D100)</f>
        <v>0</v>
      </c>
      <c r="E101" s="37">
        <f>SUM(E95:E100)</f>
        <v>0</v>
      </c>
      <c r="F101" s="37">
        <f>SUM(F95:F100)</f>
        <v>0</v>
      </c>
    </row>
    <row r="103" spans="1:26" s="685" customFormat="1" ht="16.5" customHeight="1" x14ac:dyDescent="0.2"/>
    <row r="104" spans="1:26" s="710" customFormat="1" ht="16.5" customHeight="1" x14ac:dyDescent="0.2">
      <c r="A104" s="891" t="s">
        <v>947</v>
      </c>
    </row>
    <row r="105" spans="1:26" s="857" customFormat="1" ht="9" customHeight="1" x14ac:dyDescent="0.2">
      <c r="G105" s="1169"/>
      <c r="H105" s="1169"/>
      <c r="I105" s="1169"/>
      <c r="J105" s="1169"/>
      <c r="K105" s="1169"/>
      <c r="L105" s="1169"/>
      <c r="M105" s="1169"/>
      <c r="N105" s="1169"/>
      <c r="O105" s="1169"/>
      <c r="P105" s="1169"/>
      <c r="Q105" s="1169"/>
      <c r="R105" s="1169"/>
      <c r="S105" s="1169"/>
      <c r="T105" s="1169"/>
      <c r="U105" s="1169"/>
      <c r="V105" s="1169"/>
      <c r="W105" s="1169"/>
      <c r="X105" s="1169"/>
      <c r="Y105" s="1169"/>
      <c r="Z105" s="1169"/>
    </row>
    <row r="106" spans="1:26" s="857" customFormat="1" ht="16.5" customHeight="1" x14ac:dyDescent="0.2">
      <c r="A106" s="246" t="s">
        <v>241</v>
      </c>
      <c r="B106" s="50" t="s">
        <v>493</v>
      </c>
      <c r="C106" s="50"/>
      <c r="D106" s="50"/>
      <c r="E106" s="50"/>
      <c r="F106" s="50"/>
      <c r="G106" s="1169"/>
      <c r="H106" s="1169"/>
      <c r="I106" s="1169"/>
      <c r="J106" s="1169"/>
      <c r="K106" s="1169"/>
      <c r="L106" s="1169"/>
      <c r="M106" s="1169"/>
      <c r="N106" s="1169"/>
      <c r="O106" s="1169"/>
      <c r="P106" s="1169"/>
      <c r="Q106" s="1169"/>
      <c r="R106" s="1169"/>
      <c r="S106" s="1169"/>
      <c r="T106" s="1169"/>
      <c r="U106" s="1169"/>
      <c r="V106" s="1169"/>
      <c r="W106" s="1169"/>
      <c r="X106" s="1169"/>
      <c r="Y106" s="1169"/>
      <c r="Z106" s="1169"/>
    </row>
    <row r="107" spans="1:26" s="857" customFormat="1" ht="16.5" customHeight="1" x14ac:dyDescent="0.2">
      <c r="B107" s="644">
        <f>'BS Analysis Adjustments'!B1</f>
        <v>2011</v>
      </c>
      <c r="C107" s="644">
        <f>'BS Analysis Adjustments'!L1</f>
        <v>2012</v>
      </c>
      <c r="D107" s="644">
        <f>'BS Analysis Adjustments'!V1</f>
        <v>2013</v>
      </c>
      <c r="E107" s="644">
        <f>'BS Analysis Adjustments'!AF1</f>
        <v>2014</v>
      </c>
      <c r="F107" s="644">
        <f>'BS Analysis Adjustments'!AP1</f>
        <v>2015</v>
      </c>
      <c r="G107" s="1169"/>
      <c r="H107" s="1169"/>
      <c r="I107" s="1169"/>
      <c r="J107" s="1169"/>
      <c r="K107" s="1169"/>
      <c r="L107" s="1169"/>
      <c r="M107" s="1169"/>
      <c r="N107" s="1169"/>
      <c r="O107" s="1169"/>
      <c r="P107" s="1169"/>
      <c r="Q107" s="1169"/>
      <c r="R107" s="1169"/>
      <c r="S107" s="1169"/>
      <c r="T107" s="1169"/>
      <c r="U107" s="1169"/>
      <c r="V107" s="1169"/>
      <c r="W107" s="1169"/>
      <c r="X107" s="1169"/>
      <c r="Y107" s="1169"/>
      <c r="Z107" s="1169"/>
    </row>
    <row r="108" spans="1:26" s="683" customFormat="1" ht="16.5" customHeight="1" x14ac:dyDescent="0.2">
      <c r="A108" s="66" t="s">
        <v>863</v>
      </c>
      <c r="B108" s="290">
        <f>'IS Analysis Adjustments'!B26</f>
        <v>1119</v>
      </c>
      <c r="C108" s="290">
        <f>'IS Analysis Adjustments'!L26</f>
        <v>1185</v>
      </c>
      <c r="D108" s="290">
        <f>'IS Analysis Adjustments'!V26</f>
        <v>1189</v>
      </c>
      <c r="E108" s="290">
        <f>'IS Analysis Adjustments'!AF26</f>
        <v>1185</v>
      </c>
      <c r="F108" s="290">
        <f>'IS Analysis Adjustments'!AP26</f>
        <v>976</v>
      </c>
    </row>
    <row r="109" spans="1:26" s="857" customFormat="1" ht="16.5" customHeight="1" x14ac:dyDescent="0.2">
      <c r="A109" s="41" t="s">
        <v>864</v>
      </c>
      <c r="B109" s="290">
        <f>'IS Analysis Adjustments'!B27</f>
        <v>436</v>
      </c>
      <c r="C109" s="290">
        <f>'IS Analysis Adjustments'!L27</f>
        <v>450</v>
      </c>
      <c r="D109" s="290">
        <f>'IS Analysis Adjustments'!V27</f>
        <v>455</v>
      </c>
      <c r="E109" s="290">
        <f>'IS Analysis Adjustments'!AF27</f>
        <v>465</v>
      </c>
      <c r="F109" s="290">
        <f>'IS Analysis Adjustments'!AP27</f>
        <v>376</v>
      </c>
      <c r="G109" s="1169"/>
      <c r="H109" s="1169"/>
      <c r="I109" s="1169"/>
      <c r="J109" s="1169"/>
      <c r="K109" s="1169"/>
      <c r="L109" s="1169"/>
      <c r="M109" s="1169"/>
      <c r="N109" s="1169"/>
      <c r="O109" s="1169"/>
      <c r="P109" s="1169"/>
      <c r="Q109" s="1169"/>
      <c r="R109" s="1169"/>
      <c r="S109" s="1169"/>
      <c r="T109" s="1169"/>
      <c r="U109" s="1169"/>
      <c r="V109" s="1169"/>
      <c r="W109" s="1169"/>
      <c r="X109" s="1169"/>
      <c r="Y109" s="1169"/>
      <c r="Z109" s="1169"/>
    </row>
    <row r="110" spans="1:26" s="930" customFormat="1" ht="16.5" customHeight="1" x14ac:dyDescent="0.2">
      <c r="A110" s="929" t="s">
        <v>901</v>
      </c>
      <c r="B110" s="889">
        <f>B109/B108</f>
        <v>0.3896336014298481</v>
      </c>
      <c r="C110" s="889">
        <f>C109/C108</f>
        <v>0.379746835443038</v>
      </c>
      <c r="D110" s="889">
        <f>D109/D108</f>
        <v>0.3826745164003364</v>
      </c>
      <c r="E110" s="889">
        <f>E109/E108</f>
        <v>0.39240506329113922</v>
      </c>
      <c r="F110" s="889">
        <f>F109/F108</f>
        <v>0.38524590163934425</v>
      </c>
    </row>
    <row r="111" spans="1:26" s="857" customFormat="1" ht="9" customHeight="1" x14ac:dyDescent="0.2">
      <c r="A111" s="797"/>
      <c r="B111" s="924"/>
      <c r="C111" s="924"/>
      <c r="D111" s="924"/>
      <c r="E111" s="924"/>
      <c r="F111" s="924"/>
      <c r="G111" s="1169"/>
      <c r="H111" s="1169"/>
      <c r="I111" s="1169"/>
      <c r="J111" s="1169"/>
      <c r="K111" s="1169"/>
      <c r="L111" s="1169"/>
      <c r="M111" s="1169"/>
      <c r="N111" s="1169"/>
      <c r="O111" s="1169"/>
      <c r="P111" s="1169"/>
      <c r="Q111" s="1169"/>
      <c r="R111" s="1169"/>
      <c r="S111" s="1169"/>
      <c r="T111" s="1169"/>
      <c r="U111" s="1169"/>
      <c r="V111" s="1169"/>
      <c r="W111" s="1169"/>
      <c r="X111" s="1169"/>
      <c r="Y111" s="1169"/>
      <c r="Z111" s="1169"/>
    </row>
    <row r="112" spans="1:26" s="920" customFormat="1" ht="16.5" customHeight="1" x14ac:dyDescent="0.2">
      <c r="A112" s="921" t="s">
        <v>416</v>
      </c>
      <c r="G112" s="1193"/>
      <c r="H112" s="1193"/>
      <c r="I112" s="1193"/>
      <c r="J112" s="1193"/>
      <c r="K112" s="1193"/>
      <c r="L112" s="1193"/>
      <c r="M112" s="1193"/>
      <c r="N112" s="1193"/>
      <c r="O112" s="1193"/>
      <c r="P112" s="1193"/>
      <c r="Q112" s="1193"/>
      <c r="R112" s="1193"/>
      <c r="S112" s="1193"/>
      <c r="T112" s="1193"/>
      <c r="U112" s="1193"/>
      <c r="V112" s="1193"/>
      <c r="W112" s="1193"/>
      <c r="X112" s="1193"/>
      <c r="Y112" s="1193"/>
      <c r="Z112" s="1193"/>
    </row>
    <row r="113" spans="1:26" s="922" customFormat="1" ht="16.5" customHeight="1" x14ac:dyDescent="0.2">
      <c r="A113" s="935" t="s">
        <v>939</v>
      </c>
      <c r="G113" s="1205" t="s">
        <v>944</v>
      </c>
      <c r="H113" s="1203"/>
      <c r="I113" s="1203"/>
      <c r="J113" s="1203"/>
      <c r="K113" s="1203"/>
      <c r="L113" s="1203"/>
      <c r="M113" s="1203"/>
      <c r="N113" s="1203"/>
      <c r="O113" s="1203"/>
      <c r="P113" s="1203"/>
      <c r="Q113" s="1203"/>
      <c r="R113" s="1203"/>
      <c r="S113" s="1203"/>
      <c r="T113" s="1203"/>
      <c r="U113" s="1203"/>
      <c r="V113" s="1203"/>
      <c r="W113" s="1203"/>
      <c r="X113" s="1203"/>
      <c r="Y113" s="1203"/>
      <c r="Z113" s="1203"/>
    </row>
    <row r="114" spans="1:26" s="922" customFormat="1" ht="16.5" customHeight="1" x14ac:dyDescent="0.2">
      <c r="A114" s="935" t="s">
        <v>952</v>
      </c>
      <c r="B114" s="922">
        <v>0</v>
      </c>
      <c r="C114" s="922">
        <v>0</v>
      </c>
      <c r="D114" s="922">
        <v>0</v>
      </c>
      <c r="E114" s="922">
        <v>0</v>
      </c>
      <c r="F114" s="922">
        <v>0</v>
      </c>
      <c r="G114" s="1205" t="s">
        <v>944</v>
      </c>
      <c r="H114" s="1203"/>
      <c r="I114" s="1203"/>
      <c r="J114" s="1203"/>
      <c r="K114" s="1203"/>
      <c r="L114" s="1203"/>
      <c r="M114" s="1203"/>
      <c r="N114" s="1203"/>
      <c r="O114" s="1203"/>
      <c r="P114" s="1203"/>
      <c r="Q114" s="1203"/>
      <c r="R114" s="1203"/>
      <c r="S114" s="1203"/>
      <c r="T114" s="1203"/>
      <c r="U114" s="1203"/>
      <c r="V114" s="1203"/>
      <c r="W114" s="1203"/>
      <c r="X114" s="1203"/>
      <c r="Y114" s="1203"/>
      <c r="Z114" s="1203"/>
    </row>
    <row r="115" spans="1:26" s="922" customFormat="1" ht="16.5" customHeight="1" x14ac:dyDescent="0.2">
      <c r="A115" s="935" t="s">
        <v>940</v>
      </c>
      <c r="B115" s="922">
        <v>0</v>
      </c>
      <c r="C115" s="922">
        <v>0</v>
      </c>
      <c r="D115" s="922">
        <v>0</v>
      </c>
      <c r="E115" s="922">
        <v>0</v>
      </c>
      <c r="F115" s="922">
        <v>0</v>
      </c>
      <c r="G115" s="1205" t="s">
        <v>944</v>
      </c>
      <c r="H115" s="1203"/>
      <c r="I115" s="1203"/>
      <c r="J115" s="1203"/>
      <c r="K115" s="1203"/>
      <c r="L115" s="1203"/>
      <c r="M115" s="1203"/>
      <c r="N115" s="1203"/>
      <c r="O115" s="1203"/>
      <c r="P115" s="1203"/>
      <c r="Q115" s="1203"/>
      <c r="R115" s="1203"/>
      <c r="S115" s="1203"/>
      <c r="T115" s="1203"/>
      <c r="U115" s="1203"/>
      <c r="V115" s="1203"/>
      <c r="W115" s="1203"/>
      <c r="X115" s="1203"/>
      <c r="Y115" s="1203"/>
      <c r="Z115" s="1203"/>
    </row>
    <row r="116" spans="1:26" s="922" customFormat="1" ht="16.5" customHeight="1" x14ac:dyDescent="0.2">
      <c r="A116" s="935"/>
      <c r="G116" s="1205" t="s">
        <v>944</v>
      </c>
      <c r="H116" s="1203"/>
      <c r="I116" s="1203"/>
      <c r="J116" s="1203"/>
      <c r="K116" s="1203"/>
      <c r="L116" s="1203"/>
      <c r="M116" s="1203"/>
      <c r="N116" s="1203"/>
      <c r="O116" s="1203"/>
      <c r="P116" s="1203"/>
      <c r="Q116" s="1203"/>
      <c r="R116" s="1203"/>
      <c r="S116" s="1203"/>
      <c r="T116" s="1203"/>
      <c r="U116" s="1203"/>
      <c r="V116" s="1203"/>
      <c r="W116" s="1203"/>
      <c r="X116" s="1203"/>
      <c r="Y116" s="1203"/>
      <c r="Z116" s="1203"/>
    </row>
    <row r="117" spans="1:26" s="922" customFormat="1" ht="16.5" customHeight="1" x14ac:dyDescent="0.2">
      <c r="A117" s="935" t="s">
        <v>953</v>
      </c>
      <c r="G117" s="1205" t="s">
        <v>944</v>
      </c>
      <c r="H117" s="1203"/>
      <c r="I117" s="1203"/>
      <c r="J117" s="1203"/>
      <c r="K117" s="1203"/>
      <c r="L117" s="1203"/>
      <c r="M117" s="1203"/>
      <c r="N117" s="1203"/>
      <c r="O117" s="1203"/>
      <c r="P117" s="1203"/>
      <c r="Q117" s="1203"/>
      <c r="R117" s="1203"/>
      <c r="S117" s="1203"/>
      <c r="T117" s="1203"/>
      <c r="U117" s="1203"/>
      <c r="V117" s="1203"/>
      <c r="W117" s="1203"/>
      <c r="X117" s="1203"/>
      <c r="Y117" s="1203"/>
      <c r="Z117" s="1203"/>
    </row>
    <row r="118" spans="1:26" s="922" customFormat="1" ht="16.5" customHeight="1" x14ac:dyDescent="0.2">
      <c r="A118" s="935" t="s">
        <v>938</v>
      </c>
      <c r="B118" s="922">
        <v>0</v>
      </c>
      <c r="C118" s="922">
        <v>0</v>
      </c>
      <c r="D118" s="922">
        <v>0</v>
      </c>
      <c r="E118" s="922">
        <v>0</v>
      </c>
      <c r="F118" s="922">
        <v>0</v>
      </c>
      <c r="G118" s="1205" t="s">
        <v>944</v>
      </c>
      <c r="H118" s="1203"/>
      <c r="I118" s="1203"/>
      <c r="J118" s="1203"/>
      <c r="K118" s="1203"/>
      <c r="L118" s="1203"/>
      <c r="M118" s="1203"/>
      <c r="N118" s="1203"/>
      <c r="O118" s="1203"/>
      <c r="P118" s="1203"/>
      <c r="Q118" s="1203"/>
      <c r="R118" s="1203"/>
      <c r="S118" s="1203"/>
      <c r="T118" s="1203"/>
      <c r="U118" s="1203"/>
      <c r="V118" s="1203"/>
      <c r="W118" s="1203"/>
      <c r="X118" s="1203"/>
      <c r="Y118" s="1203"/>
      <c r="Z118" s="1203"/>
    </row>
    <row r="119" spans="1:26" s="922" customFormat="1" ht="16.5" customHeight="1" x14ac:dyDescent="0.2">
      <c r="A119" s="935"/>
      <c r="G119" s="1205" t="s">
        <v>944</v>
      </c>
      <c r="H119" s="1203"/>
      <c r="I119" s="1203"/>
      <c r="J119" s="1203"/>
      <c r="K119" s="1203"/>
      <c r="L119" s="1203"/>
      <c r="M119" s="1203"/>
      <c r="N119" s="1203"/>
      <c r="O119" s="1203"/>
      <c r="P119" s="1203"/>
      <c r="Q119" s="1203"/>
      <c r="R119" s="1203"/>
      <c r="S119" s="1203"/>
      <c r="T119" s="1203"/>
      <c r="U119" s="1203"/>
      <c r="V119" s="1203"/>
      <c r="W119" s="1203"/>
      <c r="X119" s="1203"/>
      <c r="Y119" s="1203"/>
      <c r="Z119" s="1203"/>
    </row>
    <row r="120" spans="1:26" s="922" customFormat="1" ht="16.5" customHeight="1" x14ac:dyDescent="0.2">
      <c r="A120" s="935" t="s">
        <v>942</v>
      </c>
      <c r="D120" s="922">
        <v>0</v>
      </c>
      <c r="G120" s="1205" t="s">
        <v>944</v>
      </c>
      <c r="H120" s="1203"/>
      <c r="I120" s="1203"/>
      <c r="J120" s="1203"/>
      <c r="K120" s="1203"/>
      <c r="L120" s="1203"/>
      <c r="M120" s="1203"/>
      <c r="N120" s="1203"/>
      <c r="O120" s="1203"/>
      <c r="P120" s="1203"/>
      <c r="Q120" s="1203"/>
      <c r="R120" s="1203"/>
      <c r="S120" s="1203"/>
      <c r="T120" s="1203"/>
      <c r="U120" s="1203"/>
      <c r="V120" s="1203"/>
      <c r="W120" s="1203"/>
      <c r="X120" s="1203"/>
      <c r="Y120" s="1203"/>
      <c r="Z120" s="1203"/>
    </row>
    <row r="121" spans="1:26" s="922" customFormat="1" ht="16.5" customHeight="1" x14ac:dyDescent="0.2">
      <c r="A121" s="935" t="s">
        <v>952</v>
      </c>
      <c r="B121" s="922">
        <v>0</v>
      </c>
      <c r="C121" s="922">
        <v>0</v>
      </c>
      <c r="D121" s="922">
        <v>0</v>
      </c>
      <c r="E121" s="922">
        <v>0</v>
      </c>
      <c r="F121" s="922">
        <v>0</v>
      </c>
      <c r="G121" s="1205" t="s">
        <v>944</v>
      </c>
      <c r="H121" s="1203"/>
      <c r="I121" s="1203"/>
      <c r="J121" s="1203"/>
      <c r="K121" s="1203"/>
      <c r="L121" s="1203"/>
      <c r="M121" s="1203"/>
      <c r="N121" s="1203"/>
      <c r="O121" s="1203"/>
      <c r="P121" s="1203"/>
      <c r="Q121" s="1203"/>
      <c r="R121" s="1203"/>
      <c r="S121" s="1203"/>
      <c r="T121" s="1203"/>
      <c r="U121" s="1203"/>
      <c r="V121" s="1203"/>
      <c r="W121" s="1203"/>
      <c r="X121" s="1203"/>
      <c r="Y121" s="1203"/>
      <c r="Z121" s="1203"/>
    </row>
    <row r="122" spans="1:26" s="922" customFormat="1" ht="16.5" customHeight="1" x14ac:dyDescent="0.2">
      <c r="A122" s="935" t="s">
        <v>941</v>
      </c>
      <c r="B122" s="922">
        <v>0</v>
      </c>
      <c r="C122" s="922">
        <v>0</v>
      </c>
      <c r="D122" s="922">
        <v>0</v>
      </c>
      <c r="E122" s="922">
        <v>0</v>
      </c>
      <c r="F122" s="922">
        <v>0</v>
      </c>
      <c r="G122" s="1205" t="s">
        <v>944</v>
      </c>
      <c r="H122" s="1203"/>
      <c r="I122" s="1203"/>
      <c r="J122" s="1203"/>
      <c r="K122" s="1203"/>
      <c r="L122" s="1203"/>
      <c r="M122" s="1203"/>
      <c r="N122" s="1203"/>
      <c r="O122" s="1203"/>
      <c r="P122" s="1203"/>
      <c r="Q122" s="1203"/>
      <c r="R122" s="1203"/>
      <c r="S122" s="1203"/>
      <c r="T122" s="1203"/>
      <c r="U122" s="1203"/>
      <c r="V122" s="1203"/>
      <c r="W122" s="1203"/>
      <c r="X122" s="1203"/>
      <c r="Y122" s="1203"/>
      <c r="Z122" s="1203"/>
    </row>
    <row r="123" spans="1:26" s="922" customFormat="1" ht="16.5" customHeight="1" x14ac:dyDescent="0.2">
      <c r="A123" s="935"/>
      <c r="G123" s="1205" t="s">
        <v>944</v>
      </c>
      <c r="H123" s="1203"/>
      <c r="I123" s="1203"/>
      <c r="J123" s="1203"/>
      <c r="K123" s="1203"/>
      <c r="L123" s="1203"/>
      <c r="M123" s="1203"/>
      <c r="N123" s="1203"/>
      <c r="O123" s="1203"/>
      <c r="P123" s="1203"/>
      <c r="Q123" s="1203"/>
      <c r="R123" s="1203"/>
      <c r="S123" s="1203"/>
      <c r="T123" s="1203"/>
      <c r="U123" s="1203"/>
      <c r="V123" s="1203"/>
      <c r="W123" s="1203"/>
      <c r="X123" s="1203"/>
      <c r="Y123" s="1203"/>
      <c r="Z123" s="1203"/>
    </row>
    <row r="124" spans="1:26" s="922" customFormat="1" ht="16.5" customHeight="1" x14ac:dyDescent="0.2">
      <c r="A124" s="935" t="s">
        <v>943</v>
      </c>
      <c r="G124" s="1205" t="s">
        <v>944</v>
      </c>
      <c r="H124" s="1203"/>
      <c r="I124" s="1203"/>
      <c r="J124" s="1203"/>
      <c r="K124" s="1203"/>
      <c r="L124" s="1203"/>
      <c r="M124" s="1203"/>
      <c r="N124" s="1203"/>
      <c r="O124" s="1203"/>
      <c r="P124" s="1203"/>
      <c r="Q124" s="1203"/>
      <c r="R124" s="1203"/>
      <c r="S124" s="1203"/>
      <c r="T124" s="1203"/>
      <c r="U124" s="1203"/>
      <c r="V124" s="1203"/>
      <c r="W124" s="1203"/>
      <c r="X124" s="1203"/>
      <c r="Y124" s="1203"/>
      <c r="Z124" s="1203"/>
    </row>
    <row r="125" spans="1:26" s="922" customFormat="1" ht="16.5" customHeight="1" x14ac:dyDescent="0.2">
      <c r="A125" s="935" t="s">
        <v>952</v>
      </c>
      <c r="B125" s="922">
        <v>0</v>
      </c>
      <c r="C125" s="922">
        <v>0</v>
      </c>
      <c r="D125" s="922">
        <v>0</v>
      </c>
      <c r="E125" s="922">
        <v>0</v>
      </c>
      <c r="F125" s="922">
        <v>0</v>
      </c>
      <c r="G125" s="1205" t="s">
        <v>944</v>
      </c>
      <c r="H125" s="1203"/>
      <c r="I125" s="1203"/>
      <c r="J125" s="1203"/>
      <c r="K125" s="1203"/>
      <c r="L125" s="1203"/>
      <c r="M125" s="1203"/>
      <c r="N125" s="1203"/>
      <c r="O125" s="1203"/>
      <c r="P125" s="1203"/>
      <c r="Q125" s="1203"/>
      <c r="R125" s="1203"/>
      <c r="S125" s="1203"/>
      <c r="T125" s="1203"/>
      <c r="U125" s="1203"/>
      <c r="V125" s="1203"/>
      <c r="W125" s="1203"/>
      <c r="X125" s="1203"/>
      <c r="Y125" s="1203"/>
      <c r="Z125" s="1203"/>
    </row>
    <row r="126" spans="1:26" s="922" customFormat="1" ht="16.5" customHeight="1" x14ac:dyDescent="0.2">
      <c r="A126" s="935" t="s">
        <v>941</v>
      </c>
      <c r="B126" s="922">
        <v>0</v>
      </c>
      <c r="C126" s="922">
        <v>0</v>
      </c>
      <c r="D126" s="922">
        <v>0</v>
      </c>
      <c r="E126" s="922">
        <v>0</v>
      </c>
      <c r="F126" s="922">
        <v>0</v>
      </c>
      <c r="G126" s="1205" t="s">
        <v>944</v>
      </c>
      <c r="H126" s="1203"/>
      <c r="I126" s="1203"/>
      <c r="J126" s="1203"/>
      <c r="K126" s="1203"/>
      <c r="L126" s="1203"/>
      <c r="M126" s="1203"/>
      <c r="N126" s="1203"/>
      <c r="O126" s="1203"/>
      <c r="P126" s="1203"/>
      <c r="Q126" s="1203"/>
      <c r="R126" s="1203"/>
      <c r="S126" s="1203"/>
      <c r="T126" s="1203"/>
      <c r="U126" s="1203"/>
      <c r="V126" s="1203"/>
      <c r="W126" s="1203"/>
      <c r="X126" s="1203"/>
      <c r="Y126" s="1203"/>
      <c r="Z126" s="1203"/>
    </row>
    <row r="127" spans="1:26" s="895" customFormat="1" ht="16.5" customHeight="1" x14ac:dyDescent="0.2">
      <c r="A127" s="935"/>
      <c r="G127" s="1201"/>
      <c r="H127" s="1201"/>
      <c r="I127" s="1201"/>
      <c r="J127" s="1201"/>
      <c r="K127" s="1201"/>
      <c r="L127" s="1201"/>
      <c r="M127" s="1201"/>
      <c r="N127" s="1201"/>
      <c r="O127" s="1201"/>
      <c r="P127" s="1201"/>
      <c r="Q127" s="1201"/>
      <c r="R127" s="1201"/>
      <c r="S127" s="1201"/>
      <c r="T127" s="1201"/>
      <c r="U127" s="1201"/>
      <c r="V127" s="1201"/>
      <c r="W127" s="1201"/>
      <c r="X127" s="1201"/>
      <c r="Y127" s="1201"/>
      <c r="Z127" s="1201"/>
    </row>
    <row r="128" spans="1:26" s="937" customFormat="1" ht="16.5" customHeight="1" x14ac:dyDescent="0.2">
      <c r="A128" s="936" t="s">
        <v>897</v>
      </c>
      <c r="G128" s="1206"/>
      <c r="H128" s="1206"/>
      <c r="I128" s="1206"/>
      <c r="J128" s="1206"/>
      <c r="K128" s="1206"/>
      <c r="L128" s="1206"/>
      <c r="M128" s="1206"/>
      <c r="N128" s="1206"/>
      <c r="O128" s="1206"/>
      <c r="P128" s="1206"/>
      <c r="Q128" s="1206"/>
      <c r="R128" s="1206"/>
      <c r="S128" s="1206"/>
      <c r="T128" s="1206"/>
      <c r="U128" s="1206"/>
      <c r="V128" s="1206"/>
      <c r="W128" s="1206"/>
      <c r="X128" s="1206"/>
      <c r="Y128" s="1206"/>
      <c r="Z128" s="1206"/>
    </row>
    <row r="129" spans="1:26" s="306" customFormat="1" ht="16.5" customHeight="1" x14ac:dyDescent="0.2">
      <c r="A129" s="941" t="s">
        <v>850</v>
      </c>
      <c r="B129" s="306">
        <f>SUM(B114:B128)</f>
        <v>0</v>
      </c>
      <c r="C129" s="306">
        <f>SUM(C114:C128)</f>
        <v>0</v>
      </c>
      <c r="D129" s="306">
        <f>SUM(D114:D128)</f>
        <v>0</v>
      </c>
      <c r="E129" s="306">
        <f>SUM(E114:E128)</f>
        <v>0</v>
      </c>
      <c r="F129" s="306">
        <f>SUM(F114:F128)</f>
        <v>0</v>
      </c>
      <c r="G129" s="1204"/>
      <c r="H129" s="1204"/>
      <c r="I129" s="1204"/>
      <c r="J129" s="1204"/>
      <c r="K129" s="1204"/>
      <c r="L129" s="1204"/>
      <c r="M129" s="1204"/>
      <c r="N129" s="1204"/>
      <c r="O129" s="1204"/>
      <c r="P129" s="1204"/>
      <c r="Q129" s="1204"/>
      <c r="R129" s="1204"/>
      <c r="S129" s="1204"/>
      <c r="T129" s="1204"/>
      <c r="U129" s="1204"/>
      <c r="V129" s="1204"/>
      <c r="W129" s="1204"/>
      <c r="X129" s="1204"/>
      <c r="Y129" s="1204"/>
      <c r="Z129" s="1204"/>
    </row>
    <row r="130" spans="1:26" s="892" customFormat="1" ht="16.5" customHeight="1" x14ac:dyDescent="0.2">
      <c r="A130" s="932" t="s">
        <v>847</v>
      </c>
      <c r="B130" s="892">
        <f>ROUND(B129*B110,0)</f>
        <v>0</v>
      </c>
      <c r="C130" s="892">
        <f>ROUND(C129*C110,0)</f>
        <v>0</v>
      </c>
      <c r="D130" s="892">
        <f>ROUND(D129*D110,0)</f>
        <v>0</v>
      </c>
      <c r="E130" s="892">
        <f>ROUND(E129*E110,0)</f>
        <v>0</v>
      </c>
      <c r="F130" s="892">
        <f>ROUND(F129*F110,0)</f>
        <v>0</v>
      </c>
      <c r="G130" s="900"/>
      <c r="H130" s="900"/>
      <c r="I130" s="900"/>
      <c r="J130" s="900"/>
      <c r="K130" s="900"/>
      <c r="L130" s="900"/>
      <c r="M130" s="900"/>
      <c r="N130" s="900"/>
      <c r="O130" s="900"/>
      <c r="P130" s="900"/>
      <c r="Q130" s="900"/>
      <c r="R130" s="900"/>
      <c r="S130" s="900"/>
      <c r="T130" s="900"/>
      <c r="U130" s="900"/>
      <c r="V130" s="900"/>
      <c r="W130" s="900"/>
      <c r="X130" s="900"/>
      <c r="Y130" s="900"/>
      <c r="Z130" s="900"/>
    </row>
    <row r="131" spans="1:26" s="943" customFormat="1" ht="16.5" customHeight="1" thickBot="1" x14ac:dyDescent="0.25">
      <c r="A131" s="942" t="s">
        <v>848</v>
      </c>
      <c r="B131" s="943">
        <f>B129-B130</f>
        <v>0</v>
      </c>
      <c r="C131" s="943">
        <f>C129-C130</f>
        <v>0</v>
      </c>
      <c r="D131" s="943">
        <f>D129-D130</f>
        <v>0</v>
      </c>
      <c r="E131" s="943">
        <f>E129-E130</f>
        <v>0</v>
      </c>
      <c r="F131" s="943">
        <f>F129-F130</f>
        <v>0</v>
      </c>
      <c r="G131" s="977"/>
      <c r="H131" s="977"/>
      <c r="I131" s="977"/>
      <c r="J131" s="977"/>
      <c r="K131" s="977"/>
      <c r="L131" s="977"/>
      <c r="M131" s="977"/>
      <c r="N131" s="977"/>
      <c r="O131" s="977"/>
      <c r="P131" s="977"/>
      <c r="Q131" s="977"/>
      <c r="R131" s="977"/>
      <c r="S131" s="977"/>
      <c r="T131" s="977"/>
      <c r="U131" s="977"/>
      <c r="V131" s="977"/>
      <c r="W131" s="977"/>
      <c r="X131" s="977"/>
      <c r="Y131" s="977"/>
      <c r="Z131" s="977"/>
    </row>
    <row r="132" spans="1:26" s="857" customFormat="1" ht="9" customHeight="1" x14ac:dyDescent="0.2">
      <c r="G132" s="1169"/>
      <c r="H132" s="1169"/>
      <c r="I132" s="1169"/>
      <c r="J132" s="1169"/>
      <c r="K132" s="1169"/>
      <c r="L132" s="1169"/>
      <c r="M132" s="1169"/>
      <c r="N132" s="1169"/>
      <c r="O132" s="1169"/>
      <c r="P132" s="1169"/>
      <c r="Q132" s="1169"/>
      <c r="R132" s="1169"/>
      <c r="S132" s="1169"/>
      <c r="T132" s="1169"/>
      <c r="U132" s="1169"/>
      <c r="V132" s="1169"/>
      <c r="W132" s="1169"/>
      <c r="X132" s="1169"/>
      <c r="Y132" s="1169"/>
      <c r="Z132" s="1169"/>
    </row>
    <row r="133" spans="1:26" s="819" customFormat="1" ht="16.5" customHeight="1" x14ac:dyDescent="0.2">
      <c r="A133" s="898" t="s">
        <v>891</v>
      </c>
    </row>
    <row r="134" spans="1:26" s="66" customFormat="1" ht="16.5" customHeight="1" x14ac:dyDescent="0.2">
      <c r="A134" s="66" t="s">
        <v>945</v>
      </c>
      <c r="B134" s="66">
        <f>-B122-B126</f>
        <v>0</v>
      </c>
      <c r="C134" s="66">
        <f>-C122-C126</f>
        <v>0</v>
      </c>
      <c r="D134" s="66">
        <f>-D122-D126</f>
        <v>0</v>
      </c>
      <c r="E134" s="66">
        <f>-E122-E126</f>
        <v>0</v>
      </c>
      <c r="F134" s="66">
        <f>-F122-F126</f>
        <v>0</v>
      </c>
      <c r="G134" s="726"/>
      <c r="H134" s="726"/>
      <c r="I134" s="726"/>
      <c r="J134" s="726"/>
      <c r="K134" s="726"/>
      <c r="L134" s="726"/>
      <c r="M134" s="726"/>
      <c r="N134" s="726"/>
      <c r="O134" s="726"/>
      <c r="P134" s="726"/>
      <c r="Q134" s="726"/>
      <c r="R134" s="726"/>
      <c r="S134" s="726"/>
      <c r="T134" s="726"/>
      <c r="U134" s="726"/>
      <c r="V134" s="726"/>
      <c r="W134" s="726"/>
      <c r="X134" s="726"/>
      <c r="Y134" s="726"/>
      <c r="Z134" s="726"/>
    </row>
    <row r="135" spans="1:26" s="66" customFormat="1" ht="16.5" customHeight="1" x14ac:dyDescent="0.2">
      <c r="A135" s="66" t="s">
        <v>903</v>
      </c>
      <c r="B135" s="66">
        <f>IF(B130&gt;0,B130,0)</f>
        <v>0</v>
      </c>
      <c r="C135" s="66">
        <f>IF(C130&gt;0,C130,0)</f>
        <v>0</v>
      </c>
      <c r="D135" s="66">
        <f>IF(D130&gt;0,D130,0)</f>
        <v>0</v>
      </c>
      <c r="E135" s="66">
        <f>IF(E130&gt;0,E130,0)</f>
        <v>0</v>
      </c>
      <c r="F135" s="66">
        <f>IF(F130&gt;0,F130,0)</f>
        <v>0</v>
      </c>
      <c r="G135" s="726"/>
      <c r="H135" s="726"/>
      <c r="I135" s="726"/>
      <c r="J135" s="726"/>
      <c r="K135" s="726"/>
      <c r="L135" s="726"/>
      <c r="M135" s="726"/>
      <c r="N135" s="726"/>
      <c r="O135" s="726"/>
      <c r="P135" s="726"/>
      <c r="Q135" s="726"/>
      <c r="R135" s="726"/>
      <c r="S135" s="726"/>
      <c r="T135" s="726"/>
      <c r="U135" s="726"/>
      <c r="V135" s="726"/>
      <c r="W135" s="726"/>
      <c r="X135" s="726"/>
      <c r="Y135" s="726"/>
      <c r="Z135" s="726"/>
    </row>
    <row r="136" spans="1:26" s="66" customFormat="1" ht="16.5" customHeight="1" x14ac:dyDescent="0.2">
      <c r="A136" s="66" t="s">
        <v>851</v>
      </c>
      <c r="B136" s="66">
        <f>-B115</f>
        <v>0</v>
      </c>
      <c r="C136" s="66">
        <f>-C115</f>
        <v>0</v>
      </c>
      <c r="D136" s="66">
        <f>-D115</f>
        <v>0</v>
      </c>
      <c r="E136" s="66">
        <f>-E115</f>
        <v>0</v>
      </c>
      <c r="F136" s="66">
        <f>-F115</f>
        <v>0</v>
      </c>
      <c r="G136" s="726"/>
      <c r="H136" s="726"/>
      <c r="I136" s="726"/>
      <c r="J136" s="726"/>
      <c r="K136" s="726"/>
      <c r="L136" s="726"/>
      <c r="M136" s="726"/>
      <c r="N136" s="726"/>
      <c r="O136" s="726"/>
      <c r="P136" s="726"/>
      <c r="Q136" s="726"/>
      <c r="R136" s="726"/>
      <c r="S136" s="726"/>
      <c r="T136" s="726"/>
      <c r="U136" s="726"/>
      <c r="V136" s="726"/>
      <c r="W136" s="726"/>
      <c r="X136" s="726"/>
      <c r="Y136" s="726"/>
      <c r="Z136" s="726"/>
    </row>
    <row r="137" spans="1:26" s="66" customFormat="1" ht="16.5" customHeight="1" x14ac:dyDescent="0.2">
      <c r="A137" s="66" t="s">
        <v>902</v>
      </c>
      <c r="B137" s="66">
        <f>IF(B131&gt;0,B131,0)</f>
        <v>0</v>
      </c>
      <c r="C137" s="66">
        <f>IF(C131&gt;0,C131,0)</f>
        <v>0</v>
      </c>
      <c r="D137" s="66">
        <f>IF(D131&gt;0,D131,0)</f>
        <v>0</v>
      </c>
      <c r="E137" s="66">
        <f>IF(E131&gt;0,E131,0)</f>
        <v>0</v>
      </c>
      <c r="F137" s="66">
        <f>IF(F131&gt;0,F131,0)</f>
        <v>0</v>
      </c>
      <c r="G137" s="726"/>
      <c r="H137" s="726"/>
      <c r="I137" s="726"/>
      <c r="J137" s="726"/>
      <c r="K137" s="726"/>
      <c r="L137" s="726"/>
      <c r="M137" s="726"/>
      <c r="N137" s="726"/>
      <c r="O137" s="726"/>
      <c r="P137" s="726"/>
      <c r="Q137" s="726"/>
      <c r="R137" s="726"/>
      <c r="S137" s="726"/>
      <c r="T137" s="726"/>
      <c r="U137" s="726"/>
      <c r="V137" s="726"/>
      <c r="W137" s="726"/>
      <c r="X137" s="726"/>
      <c r="Y137" s="726"/>
      <c r="Z137" s="726"/>
    </row>
    <row r="138" spans="1:26" s="66" customFormat="1" ht="16.5" customHeight="1" x14ac:dyDescent="0.2">
      <c r="A138" s="66" t="s">
        <v>839</v>
      </c>
      <c r="B138" s="66">
        <f>IF(B131&lt;0,B131,0)</f>
        <v>0</v>
      </c>
      <c r="C138" s="66">
        <f>IF(C131&lt;0,C131,0)</f>
        <v>0</v>
      </c>
      <c r="D138" s="66">
        <f>IF(D131&lt;0,D131,0)</f>
        <v>0</v>
      </c>
      <c r="E138" s="66">
        <f>IF(E131&lt;0,E131,0)</f>
        <v>0</v>
      </c>
      <c r="F138" s="66">
        <f>IF(F131&lt;0,F131,0)</f>
        <v>0</v>
      </c>
      <c r="G138" s="726"/>
      <c r="H138" s="726"/>
      <c r="I138" s="726"/>
      <c r="J138" s="726"/>
      <c r="K138" s="726"/>
      <c r="L138" s="726"/>
      <c r="M138" s="726"/>
      <c r="N138" s="726"/>
      <c r="O138" s="726"/>
      <c r="P138" s="726"/>
      <c r="Q138" s="726"/>
      <c r="R138" s="726"/>
      <c r="S138" s="726"/>
      <c r="T138" s="726"/>
      <c r="U138" s="726"/>
      <c r="V138" s="726"/>
      <c r="W138" s="726"/>
      <c r="X138" s="726"/>
      <c r="Y138" s="726"/>
      <c r="Z138" s="726"/>
    </row>
    <row r="139" spans="1:26" s="66" customFormat="1" ht="16.5" customHeight="1" x14ac:dyDescent="0.2">
      <c r="A139" s="66" t="s">
        <v>840</v>
      </c>
      <c r="B139" s="66">
        <f>IF(B130&lt;0,B130,0)</f>
        <v>0</v>
      </c>
      <c r="C139" s="66">
        <f>IF(C130&lt;0,C130,0)</f>
        <v>0</v>
      </c>
      <c r="D139" s="66">
        <f>IF(D130&lt;0,D130,0)</f>
        <v>0</v>
      </c>
      <c r="E139" s="66">
        <f>IF(E130&lt;0,E130,0)</f>
        <v>0</v>
      </c>
      <c r="F139" s="66">
        <f>IF(F130&lt;0,F130,0)</f>
        <v>0</v>
      </c>
      <c r="G139" s="726"/>
      <c r="H139" s="726"/>
      <c r="I139" s="726"/>
      <c r="J139" s="726"/>
      <c r="K139" s="726"/>
      <c r="L139" s="726"/>
      <c r="M139" s="726"/>
      <c r="N139" s="726"/>
      <c r="O139" s="726"/>
      <c r="P139" s="726"/>
      <c r="Q139" s="726"/>
      <c r="R139" s="726"/>
      <c r="S139" s="726"/>
      <c r="T139" s="726"/>
      <c r="U139" s="726"/>
      <c r="V139" s="726"/>
      <c r="W139" s="726"/>
      <c r="X139" s="726"/>
      <c r="Y139" s="726"/>
      <c r="Z139" s="726"/>
    </row>
    <row r="140" spans="1:26" s="32" customFormat="1" ht="16.5" customHeight="1" x14ac:dyDescent="0.2">
      <c r="A140" s="32" t="s">
        <v>946</v>
      </c>
      <c r="B140" s="32">
        <f>-B114-B118-B121-B125</f>
        <v>0</v>
      </c>
      <c r="C140" s="32">
        <f>-C114-C118-C121-C125</f>
        <v>0</v>
      </c>
      <c r="D140" s="32">
        <f>-D114-D118-D121-D125</f>
        <v>0</v>
      </c>
      <c r="E140" s="32">
        <f>-E114-E118-E121-E125</f>
        <v>0</v>
      </c>
      <c r="F140" s="32">
        <f>-F114-F118-F121-F125</f>
        <v>0</v>
      </c>
      <c r="G140" s="718"/>
      <c r="H140" s="718"/>
      <c r="I140" s="718"/>
      <c r="J140" s="718"/>
      <c r="K140" s="718"/>
      <c r="L140" s="718"/>
      <c r="M140" s="718"/>
      <c r="N140" s="718"/>
      <c r="O140" s="718"/>
      <c r="P140" s="718"/>
      <c r="Q140" s="718"/>
      <c r="R140" s="718"/>
      <c r="S140" s="718"/>
      <c r="T140" s="718"/>
      <c r="U140" s="718"/>
      <c r="V140" s="718"/>
      <c r="W140" s="718"/>
      <c r="X140" s="718"/>
      <c r="Y140" s="718"/>
      <c r="Z140" s="718"/>
    </row>
    <row r="141" spans="1:26" s="687" customFormat="1" ht="16.5" customHeight="1" thickBot="1" x14ac:dyDescent="0.25">
      <c r="A141" s="890" t="s">
        <v>817</v>
      </c>
      <c r="B141" s="37">
        <f>SUM(B134:B140)</f>
        <v>0</v>
      </c>
      <c r="C141" s="37">
        <f>SUM(C134:C140)</f>
        <v>0</v>
      </c>
      <c r="D141" s="37">
        <f>SUM(D134:D140)</f>
        <v>0</v>
      </c>
      <c r="E141" s="37">
        <f>SUM(E134:E140)</f>
        <v>0</v>
      </c>
      <c r="F141" s="37">
        <f>SUM(F134:F140)</f>
        <v>0</v>
      </c>
    </row>
  </sheetData>
  <phoneticPr fontId="137" type="noConversion"/>
  <pageMargins left="0.7" right="0.7" top="0.75" bottom="0.75" header="0.3" footer="0.3"/>
  <ignoredErrors>
    <ignoredError sqref="B56:D56 E56:F56" formula="1"/>
    <ignoredError sqref="B141:F141" evalError="1"/>
  </ignoredErrors>
  <legacyDrawing r:id="rId1"/>
  <extLst>
    <ext xmlns:mx="http://schemas.microsoft.com/office/mac/excel/2008/main" uri="http://schemas.microsoft.com/office/mac/excel/2008/main">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Z1000"/>
  <sheetViews>
    <sheetView workbookViewId="0">
      <selection activeCell="C41" sqref="C41"/>
    </sheetView>
  </sheetViews>
  <sheetFormatPr defaultColWidth="8.5703125" defaultRowHeight="16.5" customHeight="1" x14ac:dyDescent="0.2"/>
  <cols>
    <col min="1" max="1" width="55.5703125" style="946" customWidth="1"/>
    <col min="2" max="16384" width="8.5703125" style="946"/>
  </cols>
  <sheetData>
    <row r="1" spans="1:2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26" s="857"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26" s="857"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2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2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26" s="857" customFormat="1" ht="16.5" customHeight="1" x14ac:dyDescent="0.2">
      <c r="G7" s="1169"/>
      <c r="H7" s="1169"/>
      <c r="I7" s="1169"/>
      <c r="J7" s="1169"/>
      <c r="K7" s="1169"/>
      <c r="L7" s="1169"/>
      <c r="M7" s="1169"/>
      <c r="N7" s="1169"/>
      <c r="O7" s="1169"/>
      <c r="P7" s="1169"/>
      <c r="Q7" s="1169"/>
      <c r="R7" s="1169"/>
      <c r="S7" s="1169"/>
      <c r="T7" s="1169"/>
      <c r="U7" s="1169"/>
      <c r="V7" s="1169"/>
      <c r="W7" s="1169"/>
      <c r="X7" s="1169"/>
      <c r="Y7" s="1169"/>
      <c r="Z7" s="1169"/>
    </row>
    <row r="8" spans="1:26" s="710" customFormat="1" ht="16.5" customHeight="1" x14ac:dyDescent="0.2">
      <c r="A8" s="891" t="s">
        <v>873</v>
      </c>
    </row>
    <row r="9" spans="1:26" s="857" customFormat="1" ht="9" customHeight="1" x14ac:dyDescent="0.2">
      <c r="G9" s="1169"/>
      <c r="H9" s="1169"/>
      <c r="I9" s="1169"/>
      <c r="J9" s="1169"/>
      <c r="K9" s="1169"/>
      <c r="L9" s="1169"/>
      <c r="M9" s="1169"/>
      <c r="N9" s="1169"/>
      <c r="O9" s="1169"/>
      <c r="P9" s="1169"/>
      <c r="Q9" s="1169"/>
      <c r="R9" s="1169"/>
      <c r="S9" s="1169"/>
      <c r="T9" s="1169"/>
      <c r="U9" s="1169"/>
      <c r="V9" s="1169"/>
      <c r="W9" s="1169"/>
      <c r="X9" s="1169"/>
      <c r="Y9" s="1169"/>
      <c r="Z9" s="1169"/>
    </row>
    <row r="10" spans="1:26" s="857" customFormat="1" ht="16.5" customHeight="1" x14ac:dyDescent="0.2">
      <c r="A10" s="246" t="s">
        <v>241</v>
      </c>
      <c r="B10" s="50" t="s">
        <v>493</v>
      </c>
      <c r="C10" s="50"/>
      <c r="D10" s="50"/>
      <c r="E10" s="50"/>
      <c r="F10" s="50"/>
      <c r="G10" s="1169"/>
      <c r="H10" s="1169"/>
      <c r="I10" s="1169"/>
      <c r="J10" s="1169"/>
      <c r="K10" s="1169"/>
      <c r="L10" s="1169"/>
      <c r="M10" s="1169"/>
      <c r="N10" s="1169"/>
      <c r="O10" s="1169"/>
      <c r="P10" s="1169"/>
      <c r="Q10" s="1169"/>
      <c r="R10" s="1169"/>
      <c r="S10" s="1169"/>
      <c r="T10" s="1169"/>
      <c r="U10" s="1169"/>
      <c r="V10" s="1169"/>
      <c r="W10" s="1169"/>
      <c r="X10" s="1169"/>
      <c r="Y10" s="1169"/>
      <c r="Z10" s="1169"/>
    </row>
    <row r="11" spans="1:26" s="857" customFormat="1" ht="16.5" customHeight="1" x14ac:dyDescent="0.2">
      <c r="B11" s="644">
        <f>'BS Analysis Adjustments'!B1</f>
        <v>2011</v>
      </c>
      <c r="C11" s="644">
        <f>'BS Analysis Adjustments'!L1</f>
        <v>2012</v>
      </c>
      <c r="D11" s="644">
        <f>'BS Analysis Adjustments'!V1</f>
        <v>2013</v>
      </c>
      <c r="E11" s="644">
        <f>'BS Analysis Adjustments'!AF1</f>
        <v>2014</v>
      </c>
      <c r="F11" s="644">
        <f>'BS Analysis Adjustments'!AP1</f>
        <v>2015</v>
      </c>
      <c r="G11" s="1169"/>
      <c r="H11" s="1169"/>
      <c r="I11" s="1169"/>
      <c r="J11" s="1169"/>
      <c r="K11" s="1169"/>
      <c r="L11" s="1169"/>
      <c r="M11" s="1169"/>
      <c r="N11" s="1169"/>
      <c r="O11" s="1169"/>
      <c r="P11" s="1169"/>
      <c r="Q11" s="1169"/>
      <c r="R11" s="1169"/>
      <c r="S11" s="1169"/>
      <c r="T11" s="1169"/>
      <c r="U11" s="1169"/>
      <c r="V11" s="1169"/>
      <c r="W11" s="1169"/>
      <c r="X11" s="1169"/>
      <c r="Y11" s="1169"/>
      <c r="Z11" s="1169"/>
    </row>
    <row r="12" spans="1:26" s="683" customFormat="1" ht="16.5" customHeight="1" x14ac:dyDescent="0.2">
      <c r="A12" s="66" t="s">
        <v>863</v>
      </c>
      <c r="B12" s="290">
        <f>'IS Analysis Adjustments'!B26</f>
        <v>1119</v>
      </c>
      <c r="C12" s="290">
        <f>'IS Analysis Adjustments'!L26</f>
        <v>1185</v>
      </c>
      <c r="D12" s="290">
        <f>'IS Analysis Adjustments'!V26</f>
        <v>1189</v>
      </c>
      <c r="E12" s="290">
        <f>'IS Analysis Adjustments'!AF26</f>
        <v>1185</v>
      </c>
      <c r="F12" s="290">
        <f>'IS Analysis Adjustments'!AP26</f>
        <v>976</v>
      </c>
    </row>
    <row r="13" spans="1:26" s="857" customFormat="1" ht="16.5" customHeight="1" x14ac:dyDescent="0.2">
      <c r="A13" s="41" t="s">
        <v>864</v>
      </c>
      <c r="B13" s="290">
        <f>'IS Analysis Adjustments'!B27</f>
        <v>436</v>
      </c>
      <c r="C13" s="290">
        <f>'IS Analysis Adjustments'!L27</f>
        <v>450</v>
      </c>
      <c r="D13" s="290">
        <f>'IS Analysis Adjustments'!V27</f>
        <v>455</v>
      </c>
      <c r="E13" s="290">
        <f>'IS Analysis Adjustments'!AF27</f>
        <v>465</v>
      </c>
      <c r="F13" s="290">
        <f>'IS Analysis Adjustments'!AP27</f>
        <v>376</v>
      </c>
      <c r="G13" s="1169"/>
      <c r="H13" s="1169"/>
      <c r="I13" s="1169"/>
      <c r="J13" s="1169"/>
      <c r="K13" s="1169"/>
      <c r="L13" s="1169"/>
      <c r="M13" s="1169"/>
      <c r="N13" s="1169"/>
      <c r="O13" s="1169"/>
      <c r="P13" s="1169"/>
      <c r="Q13" s="1169"/>
      <c r="R13" s="1169"/>
      <c r="S13" s="1169"/>
      <c r="T13" s="1169"/>
      <c r="U13" s="1169"/>
      <c r="V13" s="1169"/>
      <c r="W13" s="1169"/>
      <c r="X13" s="1169"/>
      <c r="Y13" s="1169"/>
      <c r="Z13" s="1169"/>
    </row>
    <row r="14" spans="1:26" s="930" customFormat="1" ht="16.5" customHeight="1" x14ac:dyDescent="0.2">
      <c r="A14" s="929" t="s">
        <v>901</v>
      </c>
      <c r="B14" s="889">
        <f>B13/B12</f>
        <v>0.3896336014298481</v>
      </c>
      <c r="C14" s="889">
        <f>C13/C12</f>
        <v>0.379746835443038</v>
      </c>
      <c r="D14" s="889">
        <f>D13/D12</f>
        <v>0.3826745164003364</v>
      </c>
      <c r="E14" s="889">
        <f>E13/E12</f>
        <v>0.39240506329113922</v>
      </c>
      <c r="F14" s="889">
        <f>F13/F12</f>
        <v>0.38524590163934425</v>
      </c>
    </row>
    <row r="15" spans="1:26" s="857" customFormat="1" ht="9" customHeight="1" x14ac:dyDescent="0.2">
      <c r="A15" s="797"/>
      <c r="B15" s="924"/>
      <c r="C15" s="924"/>
      <c r="D15" s="924"/>
      <c r="E15" s="924"/>
      <c r="F15" s="924"/>
      <c r="G15" s="1169"/>
      <c r="H15" s="1169"/>
      <c r="I15" s="1169"/>
      <c r="J15" s="1169"/>
      <c r="K15" s="1169"/>
      <c r="L15" s="1169"/>
      <c r="M15" s="1169"/>
      <c r="N15" s="1169"/>
      <c r="O15" s="1169"/>
      <c r="P15" s="1169"/>
      <c r="Q15" s="1169"/>
      <c r="R15" s="1169"/>
      <c r="S15" s="1169"/>
      <c r="T15" s="1169"/>
      <c r="U15" s="1169"/>
      <c r="V15" s="1169"/>
      <c r="W15" s="1169"/>
      <c r="X15" s="1169"/>
      <c r="Y15" s="1169"/>
      <c r="Z15" s="1169"/>
    </row>
    <row r="16" spans="1:26" s="920" customFormat="1" ht="16.5" customHeight="1" x14ac:dyDescent="0.2">
      <c r="A16" s="921" t="s">
        <v>416</v>
      </c>
      <c r="G16" s="1193"/>
      <c r="H16" s="1193"/>
      <c r="I16" s="1193"/>
      <c r="J16" s="1193"/>
      <c r="K16" s="1193"/>
      <c r="L16" s="1193"/>
      <c r="M16" s="1193"/>
      <c r="N16" s="1193"/>
      <c r="O16" s="1193"/>
      <c r="P16" s="1193"/>
      <c r="Q16" s="1193"/>
      <c r="R16" s="1193"/>
      <c r="S16" s="1193"/>
      <c r="T16" s="1193"/>
      <c r="U16" s="1193"/>
      <c r="V16" s="1193"/>
      <c r="W16" s="1193"/>
      <c r="X16" s="1193"/>
      <c r="Y16" s="1193"/>
      <c r="Z16" s="1193"/>
    </row>
    <row r="17" spans="1:26" s="915" customFormat="1" ht="16.5" customHeight="1" x14ac:dyDescent="0.2">
      <c r="A17" s="939" t="s">
        <v>954</v>
      </c>
      <c r="G17" s="1198"/>
      <c r="H17" s="1198"/>
      <c r="I17" s="1198"/>
      <c r="J17" s="1198"/>
      <c r="K17" s="1198"/>
      <c r="L17" s="1198"/>
      <c r="M17" s="1198"/>
      <c r="N17" s="1198"/>
      <c r="O17" s="1198"/>
      <c r="P17" s="1198"/>
      <c r="Q17" s="1198"/>
      <c r="R17" s="1198"/>
      <c r="S17" s="1198"/>
      <c r="T17" s="1198"/>
      <c r="U17" s="1198"/>
      <c r="V17" s="1198"/>
      <c r="W17" s="1198"/>
      <c r="X17" s="1198"/>
      <c r="Y17" s="1198"/>
      <c r="Z17" s="1198"/>
    </row>
    <row r="18" spans="1:26" s="922" customFormat="1" ht="16.5" customHeight="1" x14ac:dyDescent="0.2">
      <c r="A18" s="935" t="s">
        <v>955</v>
      </c>
      <c r="B18" s="922">
        <v>0</v>
      </c>
      <c r="C18" s="922">
        <v>0</v>
      </c>
      <c r="D18" s="922">
        <v>0</v>
      </c>
      <c r="E18" s="922">
        <v>0</v>
      </c>
      <c r="F18" s="922">
        <v>0</v>
      </c>
      <c r="G18" s="1203"/>
      <c r="H18" s="1203"/>
      <c r="I18" s="1203"/>
      <c r="J18" s="1203"/>
      <c r="K18" s="1203"/>
      <c r="L18" s="1203"/>
      <c r="M18" s="1203"/>
      <c r="N18" s="1203"/>
      <c r="O18" s="1203"/>
      <c r="P18" s="1203"/>
      <c r="Q18" s="1203"/>
      <c r="R18" s="1203"/>
      <c r="S18" s="1203"/>
      <c r="T18" s="1203"/>
      <c r="U18" s="1203"/>
      <c r="V18" s="1203"/>
      <c r="W18" s="1203"/>
      <c r="X18" s="1203"/>
      <c r="Y18" s="1203"/>
      <c r="Z18" s="1203"/>
    </row>
    <row r="19" spans="1:26" s="922" customFormat="1" ht="16.5" customHeight="1" x14ac:dyDescent="0.2">
      <c r="A19" s="935" t="s">
        <v>958</v>
      </c>
      <c r="B19" s="922">
        <v>0</v>
      </c>
      <c r="C19" s="922">
        <v>0</v>
      </c>
      <c r="D19" s="922">
        <v>0</v>
      </c>
      <c r="E19" s="922">
        <v>0</v>
      </c>
      <c r="F19" s="922">
        <v>0</v>
      </c>
      <c r="G19" s="1203"/>
      <c r="H19" s="1203"/>
      <c r="I19" s="1203"/>
      <c r="J19" s="1203"/>
      <c r="K19" s="1203"/>
      <c r="L19" s="1203"/>
      <c r="M19" s="1203"/>
      <c r="N19" s="1203"/>
      <c r="O19" s="1203"/>
      <c r="P19" s="1203"/>
      <c r="Q19" s="1203"/>
      <c r="R19" s="1203"/>
      <c r="S19" s="1203"/>
      <c r="T19" s="1203"/>
      <c r="U19" s="1203"/>
      <c r="V19" s="1203"/>
      <c r="W19" s="1203"/>
      <c r="X19" s="1203"/>
      <c r="Y19" s="1203"/>
      <c r="Z19" s="1203"/>
    </row>
    <row r="20" spans="1:26" s="306" customFormat="1" ht="16.5" customHeight="1" x14ac:dyDescent="0.2">
      <c r="A20" s="941" t="s">
        <v>957</v>
      </c>
      <c r="B20" s="306">
        <f>SUM(B18:B19)</f>
        <v>0</v>
      </c>
      <c r="C20" s="306">
        <f>SUM(C18:C19)</f>
        <v>0</v>
      </c>
      <c r="D20" s="306">
        <f>SUM(D18:D19)</f>
        <v>0</v>
      </c>
      <c r="E20" s="306">
        <f>SUM(E18:E19)</f>
        <v>0</v>
      </c>
      <c r="F20" s="306">
        <f>SUM(F18:F19)</f>
        <v>0</v>
      </c>
      <c r="G20" s="1204"/>
      <c r="H20" s="1204"/>
      <c r="I20" s="1204"/>
      <c r="J20" s="1204"/>
      <c r="K20" s="1204"/>
      <c r="L20" s="1204"/>
      <c r="M20" s="1204"/>
      <c r="N20" s="1204"/>
      <c r="O20" s="1204"/>
      <c r="P20" s="1204"/>
      <c r="Q20" s="1204"/>
      <c r="R20" s="1204"/>
      <c r="S20" s="1204"/>
      <c r="T20" s="1204"/>
      <c r="U20" s="1204"/>
      <c r="V20" s="1204"/>
      <c r="W20" s="1204"/>
      <c r="X20" s="1204"/>
      <c r="Y20" s="1204"/>
      <c r="Z20" s="1204"/>
    </row>
    <row r="21" spans="1:26" s="892" customFormat="1" ht="16.5" customHeight="1" x14ac:dyDescent="0.2">
      <c r="A21" s="932" t="s">
        <v>847</v>
      </c>
      <c r="B21" s="892">
        <f>ROUND(B20*B14,0)</f>
        <v>0</v>
      </c>
      <c r="C21" s="892">
        <f>ROUND(C20*C14,0)</f>
        <v>0</v>
      </c>
      <c r="D21" s="892">
        <f>ROUND(D20*D14,0)</f>
        <v>0</v>
      </c>
      <c r="E21" s="892">
        <f>ROUND(E20*E14,0)</f>
        <v>0</v>
      </c>
      <c r="F21" s="892">
        <f>ROUND(F20*F14,0)</f>
        <v>0</v>
      </c>
      <c r="G21" s="900"/>
      <c r="H21" s="900"/>
      <c r="I21" s="900"/>
      <c r="J21" s="900"/>
      <c r="K21" s="900"/>
      <c r="L21" s="900"/>
      <c r="M21" s="900"/>
      <c r="N21" s="900"/>
      <c r="O21" s="900"/>
      <c r="P21" s="900"/>
      <c r="Q21" s="900"/>
      <c r="R21" s="900"/>
      <c r="S21" s="900"/>
      <c r="T21" s="900"/>
      <c r="U21" s="900"/>
      <c r="V21" s="900"/>
      <c r="W21" s="900"/>
      <c r="X21" s="900"/>
      <c r="Y21" s="900"/>
      <c r="Z21" s="900"/>
    </row>
    <row r="22" spans="1:26" s="943" customFormat="1" ht="16.5" customHeight="1" thickBot="1" x14ac:dyDescent="0.25">
      <c r="A22" s="942" t="s">
        <v>848</v>
      </c>
      <c r="B22" s="943">
        <f>B20-B21</f>
        <v>0</v>
      </c>
      <c r="C22" s="943">
        <f>C20-C21</f>
        <v>0</v>
      </c>
      <c r="D22" s="943">
        <f>D20-D21</f>
        <v>0</v>
      </c>
      <c r="E22" s="943">
        <f>E20-E21</f>
        <v>0</v>
      </c>
      <c r="F22" s="943">
        <f>F20-F21</f>
        <v>0</v>
      </c>
      <c r="G22" s="977"/>
      <c r="H22" s="977"/>
      <c r="I22" s="977"/>
      <c r="J22" s="977"/>
      <c r="K22" s="977"/>
      <c r="L22" s="977"/>
      <c r="M22" s="977"/>
      <c r="N22" s="977"/>
      <c r="O22" s="977"/>
      <c r="P22" s="977"/>
      <c r="Q22" s="977"/>
      <c r="R22" s="977"/>
      <c r="S22" s="977"/>
      <c r="T22" s="977"/>
      <c r="U22" s="977"/>
      <c r="V22" s="977"/>
      <c r="W22" s="977"/>
      <c r="X22" s="977"/>
      <c r="Y22" s="977"/>
      <c r="Z22" s="977"/>
    </row>
    <row r="23" spans="1:26" s="857" customFormat="1" ht="9" customHeight="1" x14ac:dyDescent="0.2">
      <c r="G23" s="1169"/>
      <c r="H23" s="1169"/>
      <c r="I23" s="1169"/>
      <c r="J23" s="1169"/>
      <c r="K23" s="1169"/>
      <c r="L23" s="1169"/>
      <c r="M23" s="1169"/>
      <c r="N23" s="1169"/>
      <c r="O23" s="1169"/>
      <c r="P23" s="1169"/>
      <c r="Q23" s="1169"/>
      <c r="R23" s="1169"/>
      <c r="S23" s="1169"/>
      <c r="T23" s="1169"/>
      <c r="U23" s="1169"/>
      <c r="V23" s="1169"/>
      <c r="W23" s="1169"/>
      <c r="X23" s="1169"/>
      <c r="Y23" s="1169"/>
      <c r="Z23" s="1169"/>
    </row>
    <row r="24" spans="1:26" s="819" customFormat="1" ht="16.5" customHeight="1" x14ac:dyDescent="0.2">
      <c r="A24" s="898" t="s">
        <v>891</v>
      </c>
    </row>
    <row r="25" spans="1:26" s="66" customFormat="1" ht="16.5" customHeight="1" x14ac:dyDescent="0.2">
      <c r="A25" s="66" t="s">
        <v>868</v>
      </c>
      <c r="B25" s="66">
        <f>IF(B18&lt;0,-B18,0)</f>
        <v>0</v>
      </c>
      <c r="C25" s="66">
        <f>IF(C18&lt;0,-C18,0)</f>
        <v>0</v>
      </c>
      <c r="D25" s="66">
        <f>IF(D18&lt;0,-D18,0)</f>
        <v>0</v>
      </c>
      <c r="E25" s="66">
        <f>IF(E18&lt;0,-E18,0)</f>
        <v>0</v>
      </c>
      <c r="F25" s="66">
        <f>IF(F18&lt;0,-F18,0)</f>
        <v>0</v>
      </c>
      <c r="G25" s="726"/>
      <c r="H25" s="726"/>
      <c r="I25" s="726"/>
      <c r="J25" s="726"/>
      <c r="K25" s="726"/>
      <c r="L25" s="726"/>
      <c r="M25" s="726"/>
      <c r="N25" s="726"/>
      <c r="O25" s="726"/>
      <c r="P25" s="726"/>
      <c r="Q25" s="726"/>
      <c r="R25" s="726"/>
      <c r="S25" s="726"/>
      <c r="T25" s="726"/>
      <c r="U25" s="726"/>
      <c r="V25" s="726"/>
      <c r="W25" s="726"/>
      <c r="X25" s="726"/>
      <c r="Y25" s="726"/>
      <c r="Z25" s="726"/>
    </row>
    <row r="26" spans="1:26" s="66" customFormat="1" ht="16.5" customHeight="1" x14ac:dyDescent="0.2">
      <c r="A26" s="66" t="s">
        <v>903</v>
      </c>
      <c r="B26" s="66">
        <f t="shared" ref="B26:F27" si="0">IF(B21&gt;0,B21,0)</f>
        <v>0</v>
      </c>
      <c r="C26" s="66">
        <f t="shared" si="0"/>
        <v>0</v>
      </c>
      <c r="D26" s="66">
        <f t="shared" si="0"/>
        <v>0</v>
      </c>
      <c r="E26" s="66">
        <f t="shared" si="0"/>
        <v>0</v>
      </c>
      <c r="F26" s="66">
        <f t="shared" si="0"/>
        <v>0</v>
      </c>
      <c r="G26" s="726"/>
      <c r="H26" s="726"/>
      <c r="I26" s="726"/>
      <c r="J26" s="726"/>
      <c r="K26" s="726"/>
      <c r="L26" s="726"/>
      <c r="M26" s="726"/>
      <c r="N26" s="726"/>
      <c r="O26" s="726"/>
      <c r="P26" s="726"/>
      <c r="Q26" s="726"/>
      <c r="R26" s="726"/>
      <c r="S26" s="726"/>
      <c r="T26" s="726"/>
      <c r="U26" s="726"/>
      <c r="V26" s="726"/>
      <c r="W26" s="726"/>
      <c r="X26" s="726"/>
      <c r="Y26" s="726"/>
      <c r="Z26" s="726"/>
    </row>
    <row r="27" spans="1:26" s="66" customFormat="1" ht="16.5" customHeight="1" x14ac:dyDescent="0.2">
      <c r="A27" s="66" t="s">
        <v>902</v>
      </c>
      <c r="B27" s="66">
        <f t="shared" si="0"/>
        <v>0</v>
      </c>
      <c r="C27" s="66">
        <f t="shared" si="0"/>
        <v>0</v>
      </c>
      <c r="D27" s="66">
        <f t="shared" si="0"/>
        <v>0</v>
      </c>
      <c r="E27" s="66">
        <f t="shared" si="0"/>
        <v>0</v>
      </c>
      <c r="F27" s="66">
        <f t="shared" si="0"/>
        <v>0</v>
      </c>
      <c r="G27" s="726"/>
      <c r="H27" s="726"/>
      <c r="I27" s="726"/>
      <c r="J27" s="726"/>
      <c r="K27" s="726"/>
      <c r="L27" s="726"/>
      <c r="M27" s="726"/>
      <c r="N27" s="726"/>
      <c r="O27" s="726"/>
      <c r="P27" s="726"/>
      <c r="Q27" s="726"/>
      <c r="R27" s="726"/>
      <c r="S27" s="726"/>
      <c r="T27" s="726"/>
      <c r="U27" s="726"/>
      <c r="V27" s="726"/>
      <c r="W27" s="726"/>
      <c r="X27" s="726"/>
      <c r="Y27" s="726"/>
      <c r="Z27" s="726"/>
    </row>
    <row r="28" spans="1:26" s="66" customFormat="1" ht="16.5" customHeight="1" x14ac:dyDescent="0.2">
      <c r="A28" s="66" t="s">
        <v>839</v>
      </c>
      <c r="B28" s="66">
        <f>IF(B22&lt;0,B22,0)</f>
        <v>0</v>
      </c>
      <c r="C28" s="66">
        <f>IF(C22&lt;0,C22,0)</f>
        <v>0</v>
      </c>
      <c r="D28" s="66">
        <f>IF(D22&lt;0,D22,0)</f>
        <v>0</v>
      </c>
      <c r="E28" s="66">
        <f>IF(E22&lt;0,E22,0)</f>
        <v>0</v>
      </c>
      <c r="F28" s="66">
        <f>IF(F22&lt;0,F22,0)</f>
        <v>0</v>
      </c>
      <c r="G28" s="726"/>
      <c r="H28" s="726"/>
      <c r="I28" s="726"/>
      <c r="J28" s="726"/>
      <c r="K28" s="726"/>
      <c r="L28" s="726"/>
      <c r="M28" s="726"/>
      <c r="N28" s="726"/>
      <c r="O28" s="726"/>
      <c r="P28" s="726"/>
      <c r="Q28" s="726"/>
      <c r="R28" s="726"/>
      <c r="S28" s="726"/>
      <c r="T28" s="726"/>
      <c r="U28" s="726"/>
      <c r="V28" s="726"/>
      <c r="W28" s="726"/>
      <c r="X28" s="726"/>
      <c r="Y28" s="726"/>
      <c r="Z28" s="726"/>
    </row>
    <row r="29" spans="1:26" s="66" customFormat="1" ht="16.5" customHeight="1" x14ac:dyDescent="0.2">
      <c r="A29" s="66" t="s">
        <v>840</v>
      </c>
      <c r="B29" s="66">
        <f>IF(B21&lt;0,B21,0)</f>
        <v>0</v>
      </c>
      <c r="C29" s="66">
        <f>IF(C21&lt;0,C21,0)</f>
        <v>0</v>
      </c>
      <c r="D29" s="66">
        <f>IF(D21&lt;0,D21,0)</f>
        <v>0</v>
      </c>
      <c r="E29" s="66">
        <f>IF(E21&lt;0,E21,0)</f>
        <v>0</v>
      </c>
      <c r="F29" s="66">
        <f>IF(F21&lt;0,F21,0)</f>
        <v>0</v>
      </c>
      <c r="G29" s="726"/>
      <c r="H29" s="726"/>
      <c r="I29" s="726"/>
      <c r="J29" s="726"/>
      <c r="K29" s="726"/>
      <c r="L29" s="726"/>
      <c r="M29" s="726"/>
      <c r="N29" s="726"/>
      <c r="O29" s="726"/>
      <c r="P29" s="726"/>
      <c r="Q29" s="726"/>
      <c r="R29" s="726"/>
      <c r="S29" s="726"/>
      <c r="T29" s="726"/>
      <c r="U29" s="726"/>
      <c r="V29" s="726"/>
      <c r="W29" s="726"/>
      <c r="X29" s="726"/>
      <c r="Y29" s="726"/>
      <c r="Z29" s="726"/>
    </row>
    <row r="30" spans="1:26" s="32" customFormat="1" ht="16.5" customHeight="1" x14ac:dyDescent="0.2">
      <c r="A30" s="32" t="s">
        <v>956</v>
      </c>
      <c r="B30" s="32">
        <f>IF(B19&gt;0,-B19,0)</f>
        <v>0</v>
      </c>
      <c r="C30" s="32">
        <f>IF(C19&gt;0,-C19,0)</f>
        <v>0</v>
      </c>
      <c r="D30" s="32">
        <f>IF(D19&gt;0,-D19,0)</f>
        <v>0</v>
      </c>
      <c r="E30" s="32">
        <f>IF(E19&gt;0,-E19,0)</f>
        <v>0</v>
      </c>
      <c r="F30" s="32">
        <f>IF(F19&gt;0,-F19,0)</f>
        <v>0</v>
      </c>
      <c r="G30" s="718"/>
      <c r="H30" s="718"/>
      <c r="I30" s="718"/>
      <c r="J30" s="718"/>
      <c r="K30" s="718"/>
      <c r="L30" s="718"/>
      <c r="M30" s="718"/>
      <c r="N30" s="718"/>
      <c r="O30" s="718"/>
      <c r="P30" s="718"/>
      <c r="Q30" s="718"/>
      <c r="R30" s="718"/>
      <c r="S30" s="718"/>
      <c r="T30" s="718"/>
      <c r="U30" s="718"/>
      <c r="V30" s="718"/>
      <c r="W30" s="718"/>
      <c r="X30" s="718"/>
      <c r="Y30" s="718"/>
      <c r="Z30" s="718"/>
    </row>
    <row r="31" spans="1:26" s="687" customFormat="1" ht="16.5" customHeight="1" thickBot="1" x14ac:dyDescent="0.25">
      <c r="A31" s="890" t="s">
        <v>817</v>
      </c>
      <c r="B31" s="37">
        <f>SUM(B25:B30)</f>
        <v>0</v>
      </c>
      <c r="C31" s="37">
        <f>SUM(C25:C30)</f>
        <v>0</v>
      </c>
      <c r="D31" s="37">
        <f>SUM(D25:D30)</f>
        <v>0</v>
      </c>
      <c r="E31" s="37">
        <f>SUM(E25:E30)</f>
        <v>0</v>
      </c>
      <c r="F31" s="37">
        <f>SUM(F25:F30)</f>
        <v>0</v>
      </c>
    </row>
    <row r="32" spans="1:26" s="682" customFormat="1" ht="16.5" customHeight="1" x14ac:dyDescent="0.2"/>
    <row r="34" spans="1:26" s="710" customFormat="1" ht="16.5" customHeight="1" x14ac:dyDescent="0.2">
      <c r="A34" s="891" t="s">
        <v>876</v>
      </c>
    </row>
    <row r="35" spans="1:26" s="857" customFormat="1" ht="9" customHeight="1" x14ac:dyDescent="0.2">
      <c r="G35" s="1169"/>
      <c r="H35" s="1169"/>
      <c r="I35" s="1169"/>
      <c r="J35" s="1169"/>
      <c r="K35" s="1169"/>
      <c r="L35" s="1169"/>
      <c r="M35" s="1169"/>
      <c r="N35" s="1169"/>
      <c r="O35" s="1169"/>
      <c r="P35" s="1169"/>
      <c r="Q35" s="1169"/>
      <c r="R35" s="1169"/>
      <c r="S35" s="1169"/>
      <c r="T35" s="1169"/>
      <c r="U35" s="1169"/>
      <c r="V35" s="1169"/>
      <c r="W35" s="1169"/>
      <c r="X35" s="1169"/>
      <c r="Y35" s="1169"/>
      <c r="Z35" s="1169"/>
    </row>
    <row r="36" spans="1:26" s="857" customFormat="1" ht="16.5" customHeight="1" x14ac:dyDescent="0.2">
      <c r="A36" s="246" t="s">
        <v>241</v>
      </c>
      <c r="B36" s="50" t="s">
        <v>493</v>
      </c>
      <c r="C36" s="50"/>
      <c r="D36" s="50"/>
      <c r="E36" s="50"/>
      <c r="F36" s="50"/>
      <c r="G36" s="1169"/>
      <c r="H36" s="1169"/>
      <c r="I36" s="1169"/>
      <c r="J36" s="1169"/>
      <c r="K36" s="1169"/>
      <c r="L36" s="1169"/>
      <c r="M36" s="1169"/>
      <c r="N36" s="1169"/>
      <c r="O36" s="1169"/>
      <c r="P36" s="1169"/>
      <c r="Q36" s="1169"/>
      <c r="R36" s="1169"/>
      <c r="S36" s="1169"/>
      <c r="T36" s="1169"/>
      <c r="U36" s="1169"/>
      <c r="V36" s="1169"/>
      <c r="W36" s="1169"/>
      <c r="X36" s="1169"/>
      <c r="Y36" s="1169"/>
      <c r="Z36" s="1169"/>
    </row>
    <row r="37" spans="1:26" s="857" customFormat="1" ht="16.5" customHeight="1" x14ac:dyDescent="0.2">
      <c r="B37" s="644">
        <f>'BS Analysis Adjustments'!B1</f>
        <v>2011</v>
      </c>
      <c r="C37" s="644">
        <f>'BS Analysis Adjustments'!L1</f>
        <v>2012</v>
      </c>
      <c r="D37" s="644">
        <f>'BS Analysis Adjustments'!V1</f>
        <v>2013</v>
      </c>
      <c r="E37" s="644">
        <f>'BS Analysis Adjustments'!AF1</f>
        <v>2014</v>
      </c>
      <c r="F37" s="644">
        <f>'BS Analysis Adjustments'!AP1</f>
        <v>2015</v>
      </c>
      <c r="G37" s="1169"/>
      <c r="H37" s="1169"/>
      <c r="I37" s="1169"/>
      <c r="J37" s="1169"/>
      <c r="K37" s="1169"/>
      <c r="L37" s="1169"/>
      <c r="M37" s="1169"/>
      <c r="N37" s="1169"/>
      <c r="O37" s="1169"/>
      <c r="P37" s="1169"/>
      <c r="Q37" s="1169"/>
      <c r="R37" s="1169"/>
      <c r="S37" s="1169"/>
      <c r="T37" s="1169"/>
      <c r="U37" s="1169"/>
      <c r="V37" s="1169"/>
      <c r="W37" s="1169"/>
      <c r="X37" s="1169"/>
      <c r="Y37" s="1169"/>
      <c r="Z37" s="1169"/>
    </row>
    <row r="38" spans="1:26" s="683" customFormat="1" ht="16.5" customHeight="1" x14ac:dyDescent="0.2">
      <c r="A38" s="66" t="s">
        <v>863</v>
      </c>
      <c r="B38" s="290">
        <f>'IS Analysis Adjustments'!B26</f>
        <v>1119</v>
      </c>
      <c r="C38" s="290">
        <f>'IS Analysis Adjustments'!L26</f>
        <v>1185</v>
      </c>
      <c r="D38" s="290">
        <f>'IS Analysis Adjustments'!V26</f>
        <v>1189</v>
      </c>
      <c r="E38" s="290">
        <f>'IS Analysis Adjustments'!AF26</f>
        <v>1185</v>
      </c>
      <c r="F38" s="290">
        <f>'IS Analysis Adjustments'!AP26</f>
        <v>976</v>
      </c>
    </row>
    <row r="39" spans="1:26" s="857" customFormat="1" ht="16.5" customHeight="1" x14ac:dyDescent="0.2">
      <c r="A39" s="41" t="s">
        <v>864</v>
      </c>
      <c r="B39" s="290">
        <f>'IS Analysis Adjustments'!B27</f>
        <v>436</v>
      </c>
      <c r="C39" s="290">
        <f>'IS Analysis Adjustments'!L27</f>
        <v>450</v>
      </c>
      <c r="D39" s="290">
        <f>'IS Analysis Adjustments'!V27</f>
        <v>455</v>
      </c>
      <c r="E39" s="290">
        <f>'IS Analysis Adjustments'!AF27</f>
        <v>465</v>
      </c>
      <c r="F39" s="290">
        <f>'IS Analysis Adjustments'!AP27</f>
        <v>376</v>
      </c>
      <c r="G39" s="1169"/>
      <c r="H39" s="1169"/>
      <c r="I39" s="1169"/>
      <c r="J39" s="1169"/>
      <c r="K39" s="1169"/>
      <c r="L39" s="1169"/>
      <c r="M39" s="1169"/>
      <c r="N39" s="1169"/>
      <c r="O39" s="1169"/>
      <c r="P39" s="1169"/>
      <c r="Q39" s="1169"/>
      <c r="R39" s="1169"/>
      <c r="S39" s="1169"/>
      <c r="T39" s="1169"/>
      <c r="U39" s="1169"/>
      <c r="V39" s="1169"/>
      <c r="W39" s="1169"/>
      <c r="X39" s="1169"/>
      <c r="Y39" s="1169"/>
      <c r="Z39" s="1169"/>
    </row>
    <row r="40" spans="1:26" s="930" customFormat="1" ht="16.5" customHeight="1" x14ac:dyDescent="0.2">
      <c r="A40" s="929" t="s">
        <v>901</v>
      </c>
      <c r="B40" s="889">
        <f>B39/B38</f>
        <v>0.3896336014298481</v>
      </c>
      <c r="C40" s="889">
        <f>C39/C38</f>
        <v>0.379746835443038</v>
      </c>
      <c r="D40" s="889">
        <f>D39/D38</f>
        <v>0.3826745164003364</v>
      </c>
      <c r="E40" s="889">
        <f>E39/E38</f>
        <v>0.39240506329113922</v>
      </c>
      <c r="F40" s="889">
        <f>F39/F38</f>
        <v>0.38524590163934425</v>
      </c>
    </row>
    <row r="41" spans="1:26" s="857" customFormat="1" ht="9" customHeight="1" x14ac:dyDescent="0.2">
      <c r="A41" s="797"/>
      <c r="B41" s="924"/>
      <c r="C41" s="924"/>
      <c r="D41" s="924"/>
      <c r="E41" s="924"/>
      <c r="F41" s="924"/>
      <c r="G41" s="1169"/>
      <c r="H41" s="1169"/>
      <c r="I41" s="1169"/>
      <c r="J41" s="1169"/>
      <c r="K41" s="1169"/>
      <c r="L41" s="1169"/>
      <c r="M41" s="1169"/>
      <c r="N41" s="1169"/>
      <c r="O41" s="1169"/>
      <c r="P41" s="1169"/>
      <c r="Q41" s="1169"/>
      <c r="R41" s="1169"/>
      <c r="S41" s="1169"/>
      <c r="T41" s="1169"/>
      <c r="U41" s="1169"/>
      <c r="V41" s="1169"/>
      <c r="W41" s="1169"/>
      <c r="X41" s="1169"/>
      <c r="Y41" s="1169"/>
      <c r="Z41" s="1169"/>
    </row>
    <row r="42" spans="1:26" s="920" customFormat="1" ht="16.5" customHeight="1" x14ac:dyDescent="0.2">
      <c r="A42" s="921" t="s">
        <v>416</v>
      </c>
      <c r="G42" s="1193"/>
      <c r="H42" s="1193"/>
      <c r="I42" s="1193"/>
      <c r="J42" s="1193"/>
      <c r="K42" s="1193"/>
      <c r="L42" s="1193"/>
      <c r="M42" s="1193"/>
      <c r="N42" s="1193"/>
      <c r="O42" s="1193"/>
      <c r="P42" s="1193"/>
      <c r="Q42" s="1193"/>
      <c r="R42" s="1193"/>
      <c r="S42" s="1193"/>
      <c r="T42" s="1193"/>
      <c r="U42" s="1193"/>
      <c r="V42" s="1193"/>
      <c r="W42" s="1193"/>
      <c r="X42" s="1193"/>
      <c r="Y42" s="1193"/>
      <c r="Z42" s="1193"/>
    </row>
    <row r="43" spans="1:26" s="915" customFormat="1" ht="16.5" customHeight="1" x14ac:dyDescent="0.2">
      <c r="A43" s="939" t="s">
        <v>877</v>
      </c>
      <c r="G43" s="1198"/>
      <c r="H43" s="1198"/>
      <c r="I43" s="1198"/>
      <c r="J43" s="1198"/>
      <c r="K43" s="1198"/>
      <c r="L43" s="1198"/>
      <c r="M43" s="1198"/>
      <c r="N43" s="1198"/>
      <c r="O43" s="1198"/>
      <c r="P43" s="1198"/>
      <c r="Q43" s="1198"/>
      <c r="R43" s="1198"/>
      <c r="S43" s="1198"/>
      <c r="T43" s="1198"/>
      <c r="U43" s="1198"/>
      <c r="V43" s="1198"/>
      <c r="W43" s="1198"/>
      <c r="X43" s="1198"/>
      <c r="Y43" s="1198"/>
      <c r="Z43" s="1198"/>
    </row>
    <row r="44" spans="1:26" s="922" customFormat="1" ht="16.5" customHeight="1" x14ac:dyDescent="0.2">
      <c r="A44" s="935" t="s">
        <v>878</v>
      </c>
      <c r="B44" s="922">
        <v>0</v>
      </c>
      <c r="C44" s="922">
        <v>0</v>
      </c>
      <c r="D44" s="922">
        <v>0</v>
      </c>
      <c r="E44" s="922">
        <v>0</v>
      </c>
      <c r="F44" s="922">
        <v>0</v>
      </c>
      <c r="G44" s="1203"/>
      <c r="H44" s="1203"/>
      <c r="I44" s="1203"/>
      <c r="J44" s="1203"/>
      <c r="K44" s="1203"/>
      <c r="L44" s="1203"/>
      <c r="M44" s="1203"/>
      <c r="N44" s="1203"/>
      <c r="O44" s="1203"/>
      <c r="P44" s="1203"/>
      <c r="Q44" s="1203"/>
      <c r="R44" s="1203"/>
      <c r="S44" s="1203"/>
      <c r="T44" s="1203"/>
      <c r="U44" s="1203"/>
      <c r="V44" s="1203"/>
      <c r="W44" s="1203"/>
      <c r="X44" s="1203"/>
      <c r="Y44" s="1203"/>
      <c r="Z44" s="1203"/>
    </row>
    <row r="45" spans="1:26" s="922" customFormat="1" ht="16.5" customHeight="1" x14ac:dyDescent="0.2">
      <c r="A45" s="935" t="s">
        <v>875</v>
      </c>
      <c r="B45" s="922">
        <v>0</v>
      </c>
      <c r="C45" s="922">
        <v>0</v>
      </c>
      <c r="D45" s="922">
        <v>0</v>
      </c>
      <c r="E45" s="922">
        <v>0</v>
      </c>
      <c r="F45" s="922">
        <v>0</v>
      </c>
      <c r="G45" s="1203"/>
      <c r="H45" s="1203"/>
      <c r="I45" s="1203"/>
      <c r="J45" s="1203"/>
      <c r="K45" s="1203"/>
      <c r="L45" s="1203"/>
      <c r="M45" s="1203"/>
      <c r="N45" s="1203"/>
      <c r="O45" s="1203"/>
      <c r="P45" s="1203"/>
      <c r="Q45" s="1203"/>
      <c r="R45" s="1203"/>
      <c r="S45" s="1203"/>
      <c r="T45" s="1203"/>
      <c r="U45" s="1203"/>
      <c r="V45" s="1203"/>
      <c r="W45" s="1203"/>
      <c r="X45" s="1203"/>
      <c r="Y45" s="1203"/>
      <c r="Z45" s="1203"/>
    </row>
    <row r="46" spans="1:26" s="306" customFormat="1" ht="16.5" customHeight="1" x14ac:dyDescent="0.2">
      <c r="A46" s="941" t="s">
        <v>957</v>
      </c>
      <c r="B46" s="306">
        <f>SUM(B44:B45)</f>
        <v>0</v>
      </c>
      <c r="C46" s="306">
        <f>SUM(C44:C45)</f>
        <v>0</v>
      </c>
      <c r="D46" s="306">
        <f>SUM(D44:D45)</f>
        <v>0</v>
      </c>
      <c r="E46" s="306">
        <f>SUM(E44:E45)</f>
        <v>0</v>
      </c>
      <c r="F46" s="306">
        <f>SUM(F44:F45)</f>
        <v>0</v>
      </c>
      <c r="G46" s="1204"/>
      <c r="H46" s="1204"/>
      <c r="I46" s="1204"/>
      <c r="J46" s="1204"/>
      <c r="K46" s="1204"/>
      <c r="L46" s="1204"/>
      <c r="M46" s="1204"/>
      <c r="N46" s="1204"/>
      <c r="O46" s="1204"/>
      <c r="P46" s="1204"/>
      <c r="Q46" s="1204"/>
      <c r="R46" s="1204"/>
      <c r="S46" s="1204"/>
      <c r="T46" s="1204"/>
      <c r="U46" s="1204"/>
      <c r="V46" s="1204"/>
      <c r="W46" s="1204"/>
      <c r="X46" s="1204"/>
      <c r="Y46" s="1204"/>
      <c r="Z46" s="1204"/>
    </row>
    <row r="47" spans="1:26" s="892" customFormat="1" ht="16.5" customHeight="1" x14ac:dyDescent="0.2">
      <c r="A47" s="932" t="s">
        <v>847</v>
      </c>
      <c r="B47" s="892">
        <f>ROUND(B46*B40,0)</f>
        <v>0</v>
      </c>
      <c r="C47" s="892">
        <f>ROUND(C46*C40,0)</f>
        <v>0</v>
      </c>
      <c r="D47" s="892">
        <f>ROUND(D46*D40,0)</f>
        <v>0</v>
      </c>
      <c r="E47" s="892">
        <f>ROUND(E46*E40,0)</f>
        <v>0</v>
      </c>
      <c r="F47" s="892">
        <f>ROUND(F46*F40,0)</f>
        <v>0</v>
      </c>
      <c r="G47" s="900"/>
      <c r="H47" s="900"/>
      <c r="I47" s="900"/>
      <c r="J47" s="900"/>
      <c r="K47" s="900"/>
      <c r="L47" s="900"/>
      <c r="M47" s="900"/>
      <c r="N47" s="900"/>
      <c r="O47" s="900"/>
      <c r="P47" s="900"/>
      <c r="Q47" s="900"/>
      <c r="R47" s="900"/>
      <c r="S47" s="900"/>
      <c r="T47" s="900"/>
      <c r="U47" s="900"/>
      <c r="V47" s="900"/>
      <c r="W47" s="900"/>
      <c r="X47" s="900"/>
      <c r="Y47" s="900"/>
      <c r="Z47" s="900"/>
    </row>
    <row r="48" spans="1:26" s="943" customFormat="1" ht="16.5" customHeight="1" thickBot="1" x14ac:dyDescent="0.25">
      <c r="A48" s="942" t="s">
        <v>848</v>
      </c>
      <c r="B48" s="943">
        <f>B46-B47</f>
        <v>0</v>
      </c>
      <c r="C48" s="943">
        <f>C46-C47</f>
        <v>0</v>
      </c>
      <c r="D48" s="943">
        <f>D46-D47</f>
        <v>0</v>
      </c>
      <c r="E48" s="943">
        <f>E46-E47</f>
        <v>0</v>
      </c>
      <c r="F48" s="943">
        <f>F46-F47</f>
        <v>0</v>
      </c>
      <c r="G48" s="977"/>
      <c r="H48" s="977"/>
      <c r="I48" s="977"/>
      <c r="J48" s="977"/>
      <c r="K48" s="977"/>
      <c r="L48" s="977"/>
      <c r="M48" s="977"/>
      <c r="N48" s="977"/>
      <c r="O48" s="977"/>
      <c r="P48" s="977"/>
      <c r="Q48" s="977"/>
      <c r="R48" s="977"/>
      <c r="S48" s="977"/>
      <c r="T48" s="977"/>
      <c r="U48" s="977"/>
      <c r="V48" s="977"/>
      <c r="W48" s="977"/>
      <c r="X48" s="977"/>
      <c r="Y48" s="977"/>
      <c r="Z48" s="977"/>
    </row>
    <row r="49" spans="1:26" s="857" customFormat="1" ht="9" customHeight="1" x14ac:dyDescent="0.2">
      <c r="G49" s="1169"/>
      <c r="H49" s="1169"/>
      <c r="I49" s="1169"/>
      <c r="J49" s="1169"/>
      <c r="K49" s="1169"/>
      <c r="L49" s="1169"/>
      <c r="M49" s="1169"/>
      <c r="N49" s="1169"/>
      <c r="O49" s="1169"/>
      <c r="P49" s="1169"/>
      <c r="Q49" s="1169"/>
      <c r="R49" s="1169"/>
      <c r="S49" s="1169"/>
      <c r="T49" s="1169"/>
      <c r="U49" s="1169"/>
      <c r="V49" s="1169"/>
      <c r="W49" s="1169"/>
      <c r="X49" s="1169"/>
      <c r="Y49" s="1169"/>
      <c r="Z49" s="1169"/>
    </row>
    <row r="50" spans="1:26" s="819" customFormat="1" ht="16.5" customHeight="1" x14ac:dyDescent="0.2">
      <c r="A50" s="898" t="s">
        <v>891</v>
      </c>
    </row>
    <row r="51" spans="1:26" s="66" customFormat="1" ht="16.5" customHeight="1" x14ac:dyDescent="0.2">
      <c r="A51" s="66" t="s">
        <v>903</v>
      </c>
      <c r="B51" s="66">
        <f t="shared" ref="B51:F52" si="1">IF(B47&gt;0,B47,0)</f>
        <v>0</v>
      </c>
      <c r="C51" s="66">
        <f t="shared" si="1"/>
        <v>0</v>
      </c>
      <c r="D51" s="66">
        <f t="shared" si="1"/>
        <v>0</v>
      </c>
      <c r="E51" s="66">
        <f t="shared" si="1"/>
        <v>0</v>
      </c>
      <c r="F51" s="66">
        <f t="shared" si="1"/>
        <v>0</v>
      </c>
      <c r="G51" s="726"/>
      <c r="H51" s="726"/>
      <c r="I51" s="726"/>
      <c r="J51" s="726"/>
      <c r="K51" s="726"/>
      <c r="L51" s="726"/>
      <c r="M51" s="726"/>
      <c r="N51" s="726"/>
      <c r="O51" s="726"/>
      <c r="P51" s="726"/>
      <c r="Q51" s="726"/>
      <c r="R51" s="726"/>
      <c r="S51" s="726"/>
      <c r="T51" s="726"/>
      <c r="U51" s="726"/>
      <c r="V51" s="726"/>
      <c r="W51" s="726"/>
      <c r="X51" s="726"/>
      <c r="Y51" s="726"/>
      <c r="Z51" s="726"/>
    </row>
    <row r="52" spans="1:26" s="66" customFormat="1" ht="16.5" customHeight="1" x14ac:dyDescent="0.2">
      <c r="A52" s="66" t="s">
        <v>902</v>
      </c>
      <c r="B52" s="66">
        <f t="shared" si="1"/>
        <v>0</v>
      </c>
      <c r="C52" s="66">
        <f t="shared" si="1"/>
        <v>0</v>
      </c>
      <c r="D52" s="66">
        <f t="shared" si="1"/>
        <v>0</v>
      </c>
      <c r="E52" s="66">
        <f t="shared" si="1"/>
        <v>0</v>
      </c>
      <c r="F52" s="66">
        <f t="shared" si="1"/>
        <v>0</v>
      </c>
      <c r="G52" s="726"/>
      <c r="H52" s="726"/>
      <c r="I52" s="726"/>
      <c r="J52" s="726"/>
      <c r="K52" s="726"/>
      <c r="L52" s="726"/>
      <c r="M52" s="726"/>
      <c r="N52" s="726"/>
      <c r="O52" s="726"/>
      <c r="P52" s="726"/>
      <c r="Q52" s="726"/>
      <c r="R52" s="726"/>
      <c r="S52" s="726"/>
      <c r="T52" s="726"/>
      <c r="U52" s="726"/>
      <c r="V52" s="726"/>
      <c r="W52" s="726"/>
      <c r="X52" s="726"/>
      <c r="Y52" s="726"/>
      <c r="Z52" s="726"/>
    </row>
    <row r="53" spans="1:26" s="66" customFormat="1" ht="16.5" customHeight="1" x14ac:dyDescent="0.2">
      <c r="A53" s="66" t="s">
        <v>874</v>
      </c>
      <c r="B53" s="66">
        <f>IF(B45&lt;0,-B45,0)</f>
        <v>0</v>
      </c>
      <c r="C53" s="66">
        <f>IF(C45&lt;0,-C45,0)</f>
        <v>0</v>
      </c>
      <c r="D53" s="66">
        <f>IF(D45&lt;0,-D45,0)</f>
        <v>0</v>
      </c>
      <c r="E53" s="66">
        <f>IF(E45&lt;0,-E45,0)</f>
        <v>0</v>
      </c>
      <c r="F53" s="66">
        <f>IF(F45&lt;0,-F45,0)</f>
        <v>0</v>
      </c>
      <c r="G53" s="726"/>
      <c r="H53" s="726"/>
      <c r="I53" s="726"/>
      <c r="J53" s="726"/>
      <c r="K53" s="726"/>
      <c r="L53" s="726"/>
      <c r="M53" s="726"/>
      <c r="N53" s="726"/>
      <c r="O53" s="726"/>
      <c r="P53" s="726"/>
      <c r="Q53" s="726"/>
      <c r="R53" s="726"/>
      <c r="S53" s="726"/>
      <c r="T53" s="726"/>
      <c r="U53" s="726"/>
      <c r="V53" s="726"/>
      <c r="W53" s="726"/>
      <c r="X53" s="726"/>
      <c r="Y53" s="726"/>
      <c r="Z53" s="726"/>
    </row>
    <row r="54" spans="1:26" s="66" customFormat="1" ht="16.5" customHeight="1" x14ac:dyDescent="0.2">
      <c r="A54" s="66" t="s">
        <v>839</v>
      </c>
      <c r="B54" s="66">
        <f>IF(B48&lt;0,B48,0)</f>
        <v>0</v>
      </c>
      <c r="C54" s="66">
        <f>IF(C48&lt;0,C48,0)</f>
        <v>0</v>
      </c>
      <c r="D54" s="66">
        <f>IF(D48&lt;0,D48,0)</f>
        <v>0</v>
      </c>
      <c r="E54" s="66">
        <f>IF(E48&lt;0,E48,0)</f>
        <v>0</v>
      </c>
      <c r="F54" s="66">
        <f>IF(F48&lt;0,F48,0)</f>
        <v>0</v>
      </c>
      <c r="G54" s="726"/>
      <c r="H54" s="726"/>
      <c r="I54" s="726"/>
      <c r="J54" s="726"/>
      <c r="K54" s="726"/>
      <c r="L54" s="726"/>
      <c r="M54" s="726"/>
      <c r="N54" s="726"/>
      <c r="O54" s="726"/>
      <c r="P54" s="726"/>
      <c r="Q54" s="726"/>
      <c r="R54" s="726"/>
      <c r="S54" s="726"/>
      <c r="T54" s="726"/>
      <c r="U54" s="726"/>
      <c r="V54" s="726"/>
      <c r="W54" s="726"/>
      <c r="X54" s="726"/>
      <c r="Y54" s="726"/>
      <c r="Z54" s="726"/>
    </row>
    <row r="55" spans="1:26" s="66" customFormat="1" ht="16.5" customHeight="1" x14ac:dyDescent="0.2">
      <c r="A55" s="66" t="s">
        <v>840</v>
      </c>
      <c r="B55" s="66">
        <f>IF(B47&lt;0,B47,0)</f>
        <v>0</v>
      </c>
      <c r="C55" s="66">
        <f>IF(C47&lt;0,C47,0)</f>
        <v>0</v>
      </c>
      <c r="D55" s="66">
        <f>IF(D47&lt;0,D47,0)</f>
        <v>0</v>
      </c>
      <c r="E55" s="66">
        <f>IF(E47&lt;0,E47,0)</f>
        <v>0</v>
      </c>
      <c r="F55" s="66">
        <f>IF(F47&lt;0,F47,0)</f>
        <v>0</v>
      </c>
      <c r="G55" s="726"/>
      <c r="H55" s="726"/>
      <c r="I55" s="726"/>
      <c r="J55" s="726"/>
      <c r="K55" s="726"/>
      <c r="L55" s="726"/>
      <c r="M55" s="726"/>
      <c r="N55" s="726"/>
      <c r="O55" s="726"/>
      <c r="P55" s="726"/>
      <c r="Q55" s="726"/>
      <c r="R55" s="726"/>
      <c r="S55" s="726"/>
      <c r="T55" s="726"/>
      <c r="U55" s="726"/>
      <c r="V55" s="726"/>
      <c r="W55" s="726"/>
      <c r="X55" s="726"/>
      <c r="Y55" s="726"/>
      <c r="Z55" s="726"/>
    </row>
    <row r="56" spans="1:26" s="32" customFormat="1" ht="16.5" customHeight="1" x14ac:dyDescent="0.2">
      <c r="A56" s="32" t="s">
        <v>871</v>
      </c>
      <c r="B56" s="32">
        <f>IF(B44&gt;0,-B44,0)</f>
        <v>0</v>
      </c>
      <c r="C56" s="32">
        <f>IF(C44&gt;0,-C44,0)</f>
        <v>0</v>
      </c>
      <c r="D56" s="32">
        <f>IF(D44&gt;0,-D44,0)</f>
        <v>0</v>
      </c>
      <c r="E56" s="32">
        <f>IF(E44&gt;0,-E44,0)</f>
        <v>0</v>
      </c>
      <c r="F56" s="32">
        <f>IF(F44&gt;0,-F44,0)</f>
        <v>0</v>
      </c>
      <c r="G56" s="718"/>
      <c r="H56" s="718"/>
      <c r="I56" s="718"/>
      <c r="J56" s="718"/>
      <c r="K56" s="718"/>
      <c r="L56" s="718"/>
      <c r="M56" s="718"/>
      <c r="N56" s="718"/>
      <c r="O56" s="718"/>
      <c r="P56" s="718"/>
      <c r="Q56" s="718"/>
      <c r="R56" s="718"/>
      <c r="S56" s="718"/>
      <c r="T56" s="718"/>
      <c r="U56" s="718"/>
      <c r="V56" s="718"/>
      <c r="W56" s="718"/>
      <c r="X56" s="718"/>
      <c r="Y56" s="718"/>
      <c r="Z56" s="718"/>
    </row>
    <row r="57" spans="1:26" s="687" customFormat="1" ht="16.5" customHeight="1" thickBot="1" x14ac:dyDescent="0.25">
      <c r="A57" s="890" t="s">
        <v>817</v>
      </c>
      <c r="B57" s="37">
        <f>SUM(B51:B56)</f>
        <v>0</v>
      </c>
      <c r="C57" s="37">
        <f>SUM(C51:C56)</f>
        <v>0</v>
      </c>
      <c r="D57" s="37">
        <f>SUM(D51:D56)</f>
        <v>0</v>
      </c>
      <c r="E57" s="37">
        <f>SUM(E51:E56)</f>
        <v>0</v>
      </c>
      <c r="F57" s="37">
        <f>SUM(F51:F56)</f>
        <v>0</v>
      </c>
    </row>
    <row r="58" spans="1:26" s="682" customFormat="1" ht="16.5" customHeight="1" x14ac:dyDescent="0.2"/>
    <row r="59" spans="1:26" s="682" customFormat="1" ht="16.5" customHeight="1" x14ac:dyDescent="0.2"/>
    <row r="60" spans="1:26" s="682" customFormat="1" ht="16.5" customHeight="1" x14ac:dyDescent="0.2"/>
    <row r="61" spans="1:26" s="682" customFormat="1" ht="16.5" customHeight="1" x14ac:dyDescent="0.2"/>
    <row r="62" spans="1:26" s="682" customFormat="1" ht="16.5" customHeight="1" x14ac:dyDescent="0.2"/>
    <row r="63" spans="1:26" s="682" customFormat="1" ht="16.5" customHeight="1" x14ac:dyDescent="0.2"/>
    <row r="64" spans="1:26" s="682" customFormat="1" ht="16.5" customHeight="1" x14ac:dyDescent="0.2"/>
    <row r="65" s="682" customFormat="1" ht="16.5" customHeight="1" x14ac:dyDescent="0.2"/>
    <row r="66" s="682" customFormat="1" ht="16.5" customHeight="1" x14ac:dyDescent="0.2"/>
    <row r="67" s="682" customFormat="1" ht="16.5" customHeight="1" x14ac:dyDescent="0.2"/>
    <row r="68" s="682" customFormat="1" ht="16.5" customHeight="1" x14ac:dyDescent="0.2"/>
    <row r="69" s="682" customFormat="1" ht="16.5" customHeight="1" x14ac:dyDescent="0.2"/>
    <row r="70" s="682" customFormat="1" ht="16.5" customHeight="1" x14ac:dyDescent="0.2"/>
    <row r="71" s="682" customFormat="1" ht="16.5" customHeight="1" x14ac:dyDescent="0.2"/>
    <row r="72" s="682" customFormat="1" ht="16.5" customHeight="1" x14ac:dyDescent="0.2"/>
    <row r="73" s="682" customFormat="1" ht="16.5" customHeight="1" x14ac:dyDescent="0.2"/>
    <row r="74" s="682" customFormat="1" ht="16.5" customHeight="1" x14ac:dyDescent="0.2"/>
    <row r="75" s="682" customFormat="1" ht="16.5" customHeight="1" x14ac:dyDescent="0.2"/>
    <row r="76" s="682" customFormat="1" ht="16.5" customHeight="1" x14ac:dyDescent="0.2"/>
    <row r="77" s="682" customFormat="1" ht="16.5" customHeight="1" x14ac:dyDescent="0.2"/>
    <row r="78" s="682" customFormat="1" ht="16.5" customHeight="1" x14ac:dyDescent="0.2"/>
    <row r="79" s="682" customFormat="1" ht="16.5" customHeight="1" x14ac:dyDescent="0.2"/>
    <row r="80" s="682" customFormat="1" ht="16.5" customHeight="1" x14ac:dyDescent="0.2"/>
    <row r="81" s="682" customFormat="1" ht="16.5" customHeight="1" x14ac:dyDescent="0.2"/>
    <row r="82" s="682" customFormat="1" ht="16.5" customHeight="1" x14ac:dyDescent="0.2"/>
    <row r="83" s="682" customFormat="1" ht="16.5" customHeight="1" x14ac:dyDescent="0.2"/>
    <row r="84" s="682" customFormat="1" ht="16.5" customHeight="1" x14ac:dyDescent="0.2"/>
    <row r="85" s="682" customFormat="1" ht="16.5" customHeight="1" x14ac:dyDescent="0.2"/>
    <row r="86" s="682" customFormat="1" ht="16.5" customHeight="1" x14ac:dyDescent="0.2"/>
    <row r="87" s="682" customFormat="1" ht="16.5" customHeight="1" x14ac:dyDescent="0.2"/>
    <row r="88" s="682" customFormat="1" ht="16.5" customHeight="1" x14ac:dyDescent="0.2"/>
    <row r="89" s="682" customFormat="1" ht="16.5" customHeight="1" x14ac:dyDescent="0.2"/>
    <row r="90" s="682" customFormat="1" ht="16.5" customHeight="1" x14ac:dyDescent="0.2"/>
    <row r="91" s="682" customFormat="1" ht="16.5" customHeight="1" x14ac:dyDescent="0.2"/>
    <row r="92" s="682" customFormat="1" ht="16.5" customHeight="1" x14ac:dyDescent="0.2"/>
    <row r="93" s="682" customFormat="1" ht="16.5" customHeight="1" x14ac:dyDescent="0.2"/>
    <row r="94" s="682" customFormat="1" ht="16.5" customHeight="1" x14ac:dyDescent="0.2"/>
    <row r="95" s="682" customFormat="1" ht="16.5" customHeight="1" x14ac:dyDescent="0.2"/>
    <row r="96" s="682" customFormat="1" ht="16.5" customHeight="1" x14ac:dyDescent="0.2"/>
    <row r="97" s="682" customFormat="1" ht="16.5" customHeight="1" x14ac:dyDescent="0.2"/>
    <row r="98" s="682" customFormat="1" ht="16.5" customHeight="1" x14ac:dyDescent="0.2"/>
    <row r="99" s="682" customFormat="1" ht="16.5" customHeight="1" x14ac:dyDescent="0.2"/>
    <row r="100" s="682" customFormat="1" ht="16.5" customHeight="1" x14ac:dyDescent="0.2"/>
    <row r="101" s="682" customFormat="1" ht="16.5" customHeight="1" x14ac:dyDescent="0.2"/>
    <row r="102" s="682" customFormat="1" ht="16.5" customHeight="1" x14ac:dyDescent="0.2"/>
    <row r="103" s="682" customFormat="1" ht="16.5" customHeight="1" x14ac:dyDescent="0.2"/>
    <row r="104" s="682" customFormat="1" ht="16.5" customHeight="1" x14ac:dyDescent="0.2"/>
    <row r="105" s="682" customFormat="1" ht="16.5" customHeight="1" x14ac:dyDescent="0.2"/>
    <row r="106" s="682" customFormat="1" ht="16.5" customHeight="1" x14ac:dyDescent="0.2"/>
    <row r="107" s="682" customFormat="1" ht="16.5" customHeight="1" x14ac:dyDescent="0.2"/>
    <row r="108" s="682" customFormat="1" ht="16.5" customHeight="1" x14ac:dyDescent="0.2"/>
    <row r="109" s="682" customFormat="1" ht="16.5" customHeight="1" x14ac:dyDescent="0.2"/>
    <row r="110" s="682" customFormat="1" ht="16.5" customHeight="1" x14ac:dyDescent="0.2"/>
    <row r="111" s="682" customFormat="1" ht="16.5" customHeight="1" x14ac:dyDescent="0.2"/>
    <row r="112" s="682" customFormat="1" ht="16.5" customHeight="1" x14ac:dyDescent="0.2"/>
    <row r="113" s="682" customFormat="1" ht="16.5" customHeight="1" x14ac:dyDescent="0.2"/>
    <row r="114" s="682" customFormat="1" ht="16.5" customHeight="1" x14ac:dyDescent="0.2"/>
    <row r="115" s="682" customFormat="1" ht="16.5" customHeight="1" x14ac:dyDescent="0.2"/>
    <row r="116" s="682" customFormat="1" ht="16.5" customHeight="1" x14ac:dyDescent="0.2"/>
    <row r="117" s="682" customFormat="1" ht="16.5" customHeight="1" x14ac:dyDescent="0.2"/>
    <row r="118" s="682" customFormat="1" ht="16.5" customHeight="1" x14ac:dyDescent="0.2"/>
    <row r="119" s="682" customFormat="1" ht="16.5" customHeight="1" x14ac:dyDescent="0.2"/>
    <row r="120" s="682" customFormat="1" ht="16.5" customHeight="1" x14ac:dyDescent="0.2"/>
    <row r="121" s="682" customFormat="1" ht="16.5" customHeight="1" x14ac:dyDescent="0.2"/>
    <row r="122" s="682" customFormat="1" ht="16.5" customHeight="1" x14ac:dyDescent="0.2"/>
    <row r="123" s="682" customFormat="1" ht="16.5" customHeight="1" x14ac:dyDescent="0.2"/>
    <row r="124" s="682" customFormat="1" ht="16.5" customHeight="1" x14ac:dyDescent="0.2"/>
    <row r="125" s="682" customFormat="1" ht="16.5" customHeight="1" x14ac:dyDescent="0.2"/>
    <row r="126" s="682" customFormat="1" ht="16.5" customHeight="1" x14ac:dyDescent="0.2"/>
    <row r="127" s="682" customFormat="1" ht="16.5" customHeight="1" x14ac:dyDescent="0.2"/>
    <row r="128" s="682" customFormat="1" ht="16.5" customHeight="1" x14ac:dyDescent="0.2"/>
    <row r="129" s="682" customFormat="1" ht="16.5" customHeight="1" x14ac:dyDescent="0.2"/>
    <row r="130" s="682" customFormat="1" ht="16.5" customHeight="1" x14ac:dyDescent="0.2"/>
    <row r="131" s="682" customFormat="1" ht="16.5" customHeight="1" x14ac:dyDescent="0.2"/>
    <row r="132" s="682" customFormat="1" ht="16.5" customHeight="1" x14ac:dyDescent="0.2"/>
    <row r="133" s="682" customFormat="1" ht="16.5" customHeight="1" x14ac:dyDescent="0.2"/>
    <row r="134" s="682" customFormat="1" ht="16.5" customHeight="1" x14ac:dyDescent="0.2"/>
    <row r="135" s="682" customFormat="1" ht="16.5" customHeight="1" x14ac:dyDescent="0.2"/>
    <row r="136" s="682" customFormat="1" ht="16.5" customHeight="1" x14ac:dyDescent="0.2"/>
    <row r="137" s="682" customFormat="1" ht="16.5" customHeight="1" x14ac:dyDescent="0.2"/>
    <row r="138" s="682" customFormat="1" ht="16.5" customHeight="1" x14ac:dyDescent="0.2"/>
    <row r="139" s="682" customFormat="1" ht="16.5" customHeight="1" x14ac:dyDescent="0.2"/>
    <row r="140" s="682" customFormat="1" ht="16.5" customHeight="1" x14ac:dyDescent="0.2"/>
    <row r="141" s="682" customFormat="1" ht="16.5" customHeight="1" x14ac:dyDescent="0.2"/>
    <row r="142" s="682" customFormat="1" ht="16.5" customHeight="1" x14ac:dyDescent="0.2"/>
    <row r="143" s="682" customFormat="1" ht="16.5" customHeight="1" x14ac:dyDescent="0.2"/>
    <row r="144" s="682" customFormat="1" ht="16.5" customHeight="1" x14ac:dyDescent="0.2"/>
    <row r="145" s="682" customFormat="1" ht="16.5" customHeight="1" x14ac:dyDescent="0.2"/>
    <row r="146" s="682" customFormat="1" ht="16.5" customHeight="1" x14ac:dyDescent="0.2"/>
    <row r="147" s="682" customFormat="1" ht="16.5" customHeight="1" x14ac:dyDescent="0.2"/>
    <row r="148" s="682" customFormat="1" ht="16.5" customHeight="1" x14ac:dyDescent="0.2"/>
    <row r="149" s="682" customFormat="1" ht="16.5" customHeight="1" x14ac:dyDescent="0.2"/>
    <row r="150" s="682" customFormat="1" ht="16.5" customHeight="1" x14ac:dyDescent="0.2"/>
    <row r="151" s="682" customFormat="1" ht="16.5" customHeight="1" x14ac:dyDescent="0.2"/>
    <row r="152" s="682" customFormat="1" ht="16.5" customHeight="1" x14ac:dyDescent="0.2"/>
    <row r="153" s="682" customFormat="1" ht="16.5" customHeight="1" x14ac:dyDescent="0.2"/>
    <row r="154" s="682" customFormat="1" ht="16.5" customHeight="1" x14ac:dyDescent="0.2"/>
    <row r="155" s="682" customFormat="1" ht="16.5" customHeight="1" x14ac:dyDescent="0.2"/>
    <row r="156" s="682" customFormat="1" ht="16.5" customHeight="1" x14ac:dyDescent="0.2"/>
    <row r="157" s="682" customFormat="1" ht="16.5" customHeight="1" x14ac:dyDescent="0.2"/>
    <row r="158" s="682" customFormat="1" ht="16.5" customHeight="1" x14ac:dyDescent="0.2"/>
    <row r="159" s="682" customFormat="1" ht="16.5" customHeight="1" x14ac:dyDescent="0.2"/>
    <row r="160" s="682" customFormat="1" ht="16.5" customHeight="1" x14ac:dyDescent="0.2"/>
    <row r="161" s="682" customFormat="1" ht="16.5" customHeight="1" x14ac:dyDescent="0.2"/>
    <row r="162" s="682" customFormat="1" ht="16.5" customHeight="1" x14ac:dyDescent="0.2"/>
    <row r="163" s="682" customFormat="1" ht="16.5" customHeight="1" x14ac:dyDescent="0.2"/>
    <row r="164" s="682" customFormat="1" ht="16.5" customHeight="1" x14ac:dyDescent="0.2"/>
    <row r="165" s="682" customFormat="1" ht="16.5" customHeight="1" x14ac:dyDescent="0.2"/>
    <row r="166" s="682" customFormat="1" ht="16.5" customHeight="1" x14ac:dyDescent="0.2"/>
    <row r="167" s="682" customFormat="1" ht="16.5" customHeight="1" x14ac:dyDescent="0.2"/>
    <row r="168" s="682" customFormat="1" ht="16.5" customHeight="1" x14ac:dyDescent="0.2"/>
    <row r="169" s="682" customFormat="1" ht="16.5" customHeight="1" x14ac:dyDescent="0.2"/>
    <row r="170" s="682" customFormat="1" ht="16.5" customHeight="1" x14ac:dyDescent="0.2"/>
    <row r="171" s="682" customFormat="1" ht="16.5" customHeight="1" x14ac:dyDescent="0.2"/>
    <row r="172" s="682" customFormat="1" ht="16.5" customHeight="1" x14ac:dyDescent="0.2"/>
    <row r="173" s="682" customFormat="1" ht="16.5" customHeight="1" x14ac:dyDescent="0.2"/>
    <row r="174" s="682" customFormat="1" ht="16.5" customHeight="1" x14ac:dyDescent="0.2"/>
    <row r="175" s="682" customFormat="1" ht="16.5" customHeight="1" x14ac:dyDescent="0.2"/>
    <row r="176" s="682" customFormat="1" ht="16.5" customHeight="1" x14ac:dyDescent="0.2"/>
    <row r="177" s="682" customFormat="1" ht="16.5" customHeight="1" x14ac:dyDescent="0.2"/>
    <row r="178" s="682" customFormat="1" ht="16.5" customHeight="1" x14ac:dyDescent="0.2"/>
    <row r="179" s="682" customFormat="1" ht="16.5" customHeight="1" x14ac:dyDescent="0.2"/>
    <row r="180" s="682" customFormat="1" ht="16.5" customHeight="1" x14ac:dyDescent="0.2"/>
    <row r="181" s="682" customFormat="1" ht="16.5" customHeight="1" x14ac:dyDescent="0.2"/>
    <row r="182" s="682" customFormat="1" ht="16.5" customHeight="1" x14ac:dyDescent="0.2"/>
    <row r="183" s="682" customFormat="1" ht="16.5" customHeight="1" x14ac:dyDescent="0.2"/>
    <row r="184" s="682" customFormat="1" ht="16.5" customHeight="1" x14ac:dyDescent="0.2"/>
    <row r="185" s="947" customFormat="1" ht="16.5" customHeight="1" x14ac:dyDescent="0.2"/>
    <row r="186" s="947" customFormat="1" ht="16.5" customHeight="1" x14ac:dyDescent="0.2"/>
    <row r="187" s="947" customFormat="1" ht="16.5" customHeight="1" x14ac:dyDescent="0.2"/>
    <row r="188" s="947" customFormat="1" ht="16.5" customHeight="1" x14ac:dyDescent="0.2"/>
    <row r="189" s="947" customFormat="1" ht="16.5" customHeight="1" x14ac:dyDescent="0.2"/>
    <row r="190" s="947" customFormat="1" ht="16.5" customHeight="1" x14ac:dyDescent="0.2"/>
    <row r="191" s="947" customFormat="1" ht="16.5" customHeight="1" x14ac:dyDescent="0.2"/>
    <row r="192" s="947" customFormat="1" ht="16.5" customHeight="1" x14ac:dyDescent="0.2"/>
    <row r="193" s="947" customFormat="1" ht="16.5" customHeight="1" x14ac:dyDescent="0.2"/>
    <row r="194" s="947" customFormat="1" ht="16.5" customHeight="1" x14ac:dyDescent="0.2"/>
    <row r="195" s="947" customFormat="1" ht="16.5" customHeight="1" x14ac:dyDescent="0.2"/>
    <row r="196" s="947" customFormat="1" ht="16.5" customHeight="1" x14ac:dyDescent="0.2"/>
    <row r="197" s="947" customFormat="1" ht="16.5" customHeight="1" x14ac:dyDescent="0.2"/>
    <row r="198" s="947" customFormat="1" ht="16.5" customHeight="1" x14ac:dyDescent="0.2"/>
    <row r="199" s="947" customFormat="1" ht="16.5" customHeight="1" x14ac:dyDescent="0.2"/>
    <row r="200" s="947" customFormat="1" ht="16.5" customHeight="1" x14ac:dyDescent="0.2"/>
    <row r="201" s="947" customFormat="1" ht="16.5" customHeight="1" x14ac:dyDescent="0.2"/>
    <row r="202" s="947" customFormat="1" ht="16.5" customHeight="1" x14ac:dyDescent="0.2"/>
    <row r="203" s="947" customFormat="1" ht="16.5" customHeight="1" x14ac:dyDescent="0.2"/>
    <row r="204" s="947" customFormat="1" ht="16.5" customHeight="1" x14ac:dyDescent="0.2"/>
    <row r="205" s="947" customFormat="1" ht="16.5" customHeight="1" x14ac:dyDescent="0.2"/>
    <row r="206" s="947" customFormat="1" ht="16.5" customHeight="1" x14ac:dyDescent="0.2"/>
    <row r="207" s="947" customFormat="1" ht="16.5" customHeight="1" x14ac:dyDescent="0.2"/>
    <row r="208" s="947" customFormat="1" ht="16.5" customHeight="1" x14ac:dyDescent="0.2"/>
    <row r="209" s="947" customFormat="1" ht="16.5" customHeight="1" x14ac:dyDescent="0.2"/>
    <row r="210" s="947" customFormat="1" ht="16.5" customHeight="1" x14ac:dyDescent="0.2"/>
    <row r="211" s="947" customFormat="1" ht="16.5" customHeight="1" x14ac:dyDescent="0.2"/>
    <row r="212" s="947" customFormat="1" ht="16.5" customHeight="1" x14ac:dyDescent="0.2"/>
    <row r="213" s="947" customFormat="1" ht="16.5" customHeight="1" x14ac:dyDescent="0.2"/>
    <row r="214" s="947" customFormat="1" ht="16.5" customHeight="1" x14ac:dyDescent="0.2"/>
    <row r="215" s="947" customFormat="1" ht="16.5" customHeight="1" x14ac:dyDescent="0.2"/>
    <row r="216" s="947" customFormat="1" ht="16.5" customHeight="1" x14ac:dyDescent="0.2"/>
    <row r="217" s="947" customFormat="1" ht="16.5" customHeight="1" x14ac:dyDescent="0.2"/>
    <row r="218" s="947" customFormat="1" ht="16.5" customHeight="1" x14ac:dyDescent="0.2"/>
    <row r="219" s="947" customFormat="1" ht="16.5" customHeight="1" x14ac:dyDescent="0.2"/>
    <row r="220" s="947" customFormat="1" ht="16.5" customHeight="1" x14ac:dyDescent="0.2"/>
    <row r="221" s="947" customFormat="1" ht="16.5" customHeight="1" x14ac:dyDescent="0.2"/>
    <row r="222" s="947" customFormat="1" ht="16.5" customHeight="1" x14ac:dyDescent="0.2"/>
    <row r="223" s="947" customFormat="1" ht="16.5" customHeight="1" x14ac:dyDescent="0.2"/>
    <row r="224" s="947" customFormat="1" ht="16.5" customHeight="1" x14ac:dyDescent="0.2"/>
    <row r="225" s="947" customFormat="1" ht="16.5" customHeight="1" x14ac:dyDescent="0.2"/>
    <row r="226" s="947" customFormat="1" ht="16.5" customHeight="1" x14ac:dyDescent="0.2"/>
    <row r="227" s="947" customFormat="1" ht="16.5" customHeight="1" x14ac:dyDescent="0.2"/>
    <row r="228" s="947" customFormat="1" ht="16.5" customHeight="1" x14ac:dyDescent="0.2"/>
    <row r="229" s="947" customFormat="1" ht="16.5" customHeight="1" x14ac:dyDescent="0.2"/>
    <row r="230" s="947" customFormat="1" ht="16.5" customHeight="1" x14ac:dyDescent="0.2"/>
    <row r="231" s="947" customFormat="1" ht="16.5" customHeight="1" x14ac:dyDescent="0.2"/>
    <row r="232" s="947" customFormat="1" ht="16.5" customHeight="1" x14ac:dyDescent="0.2"/>
    <row r="233" s="947" customFormat="1" ht="16.5" customHeight="1" x14ac:dyDescent="0.2"/>
    <row r="234" s="947" customFormat="1" ht="16.5" customHeight="1" x14ac:dyDescent="0.2"/>
    <row r="235" s="947" customFormat="1" ht="16.5" customHeight="1" x14ac:dyDescent="0.2"/>
    <row r="236" s="947" customFormat="1" ht="16.5" customHeight="1" x14ac:dyDescent="0.2"/>
    <row r="237" s="947" customFormat="1" ht="16.5" customHeight="1" x14ac:dyDescent="0.2"/>
    <row r="238" s="947" customFormat="1" ht="16.5" customHeight="1" x14ac:dyDescent="0.2"/>
    <row r="239" s="947" customFormat="1" ht="16.5" customHeight="1" x14ac:dyDescent="0.2"/>
    <row r="240" s="947" customFormat="1" ht="16.5" customHeight="1" x14ac:dyDescent="0.2"/>
    <row r="241" s="947" customFormat="1" ht="16.5" customHeight="1" x14ac:dyDescent="0.2"/>
    <row r="242" s="947" customFormat="1" ht="16.5" customHeight="1" x14ac:dyDescent="0.2"/>
    <row r="243" s="947" customFormat="1" ht="16.5" customHeight="1" x14ac:dyDescent="0.2"/>
    <row r="244" s="947" customFormat="1" ht="16.5" customHeight="1" x14ac:dyDescent="0.2"/>
    <row r="245" s="947" customFormat="1" ht="16.5" customHeight="1" x14ac:dyDescent="0.2"/>
    <row r="246" s="947" customFormat="1" ht="16.5" customHeight="1" x14ac:dyDescent="0.2"/>
    <row r="247" s="947" customFormat="1" ht="16.5" customHeight="1" x14ac:dyDescent="0.2"/>
    <row r="248" s="947" customFormat="1" ht="16.5" customHeight="1" x14ac:dyDescent="0.2"/>
    <row r="249" s="947" customFormat="1" ht="16.5" customHeight="1" x14ac:dyDescent="0.2"/>
    <row r="250" s="947" customFormat="1" ht="16.5" customHeight="1" x14ac:dyDescent="0.2"/>
    <row r="251" s="947" customFormat="1" ht="16.5" customHeight="1" x14ac:dyDescent="0.2"/>
    <row r="252" s="947" customFormat="1" ht="16.5" customHeight="1" x14ac:dyDescent="0.2"/>
    <row r="253" s="947" customFormat="1" ht="16.5" customHeight="1" x14ac:dyDescent="0.2"/>
    <row r="254" s="947" customFormat="1" ht="16.5" customHeight="1" x14ac:dyDescent="0.2"/>
    <row r="255" s="947" customFormat="1" ht="16.5" customHeight="1" x14ac:dyDescent="0.2"/>
    <row r="256" s="947" customFormat="1" ht="16.5" customHeight="1" x14ac:dyDescent="0.2"/>
    <row r="257" s="947" customFormat="1" ht="16.5" customHeight="1" x14ac:dyDescent="0.2"/>
    <row r="258" s="947" customFormat="1" ht="16.5" customHeight="1" x14ac:dyDescent="0.2"/>
    <row r="259" s="947" customFormat="1" ht="16.5" customHeight="1" x14ac:dyDescent="0.2"/>
    <row r="260" s="947" customFormat="1" ht="16.5" customHeight="1" x14ac:dyDescent="0.2"/>
    <row r="261" s="947" customFormat="1" ht="16.5" customHeight="1" x14ac:dyDescent="0.2"/>
    <row r="262" s="947" customFormat="1" ht="16.5" customHeight="1" x14ac:dyDescent="0.2"/>
    <row r="263" s="947" customFormat="1" ht="16.5" customHeight="1" x14ac:dyDescent="0.2"/>
    <row r="264" s="947" customFormat="1" ht="16.5" customHeight="1" x14ac:dyDescent="0.2"/>
    <row r="265" s="947" customFormat="1" ht="16.5" customHeight="1" x14ac:dyDescent="0.2"/>
    <row r="266" s="947" customFormat="1" ht="16.5" customHeight="1" x14ac:dyDescent="0.2"/>
    <row r="267" s="947" customFormat="1" ht="16.5" customHeight="1" x14ac:dyDescent="0.2"/>
    <row r="268" s="947" customFormat="1" ht="16.5" customHeight="1" x14ac:dyDescent="0.2"/>
    <row r="269" s="947" customFormat="1" ht="16.5" customHeight="1" x14ac:dyDescent="0.2"/>
    <row r="270" s="947" customFormat="1" ht="16.5" customHeight="1" x14ac:dyDescent="0.2"/>
    <row r="271" s="947" customFormat="1" ht="16.5" customHeight="1" x14ac:dyDescent="0.2"/>
    <row r="272" s="947" customFormat="1" ht="16.5" customHeight="1" x14ac:dyDescent="0.2"/>
    <row r="273" s="947" customFormat="1" ht="16.5" customHeight="1" x14ac:dyDescent="0.2"/>
    <row r="274" s="947" customFormat="1" ht="16.5" customHeight="1" x14ac:dyDescent="0.2"/>
    <row r="275" s="947" customFormat="1" ht="16.5" customHeight="1" x14ac:dyDescent="0.2"/>
    <row r="276" s="947" customFormat="1" ht="16.5" customHeight="1" x14ac:dyDescent="0.2"/>
    <row r="277" s="947" customFormat="1" ht="16.5" customHeight="1" x14ac:dyDescent="0.2"/>
    <row r="278" s="947" customFormat="1" ht="16.5" customHeight="1" x14ac:dyDescent="0.2"/>
    <row r="279" s="947" customFormat="1" ht="16.5" customHeight="1" x14ac:dyDescent="0.2"/>
    <row r="280" s="947" customFormat="1" ht="16.5" customHeight="1" x14ac:dyDescent="0.2"/>
    <row r="281" s="947" customFormat="1" ht="16.5" customHeight="1" x14ac:dyDescent="0.2"/>
    <row r="282" s="947" customFormat="1" ht="16.5" customHeight="1" x14ac:dyDescent="0.2"/>
    <row r="283" s="947" customFormat="1" ht="16.5" customHeight="1" x14ac:dyDescent="0.2"/>
    <row r="284" s="947" customFormat="1" ht="16.5" customHeight="1" x14ac:dyDescent="0.2"/>
    <row r="285" s="947" customFormat="1" ht="16.5" customHeight="1" x14ac:dyDescent="0.2"/>
    <row r="286" s="947" customFormat="1" ht="16.5" customHeight="1" x14ac:dyDescent="0.2"/>
    <row r="287" s="947" customFormat="1" ht="16.5" customHeight="1" x14ac:dyDescent="0.2"/>
    <row r="288" s="947" customFormat="1" ht="16.5" customHeight="1" x14ac:dyDescent="0.2"/>
    <row r="289" s="947" customFormat="1" ht="16.5" customHeight="1" x14ac:dyDescent="0.2"/>
    <row r="290" s="947" customFormat="1" ht="16.5" customHeight="1" x14ac:dyDescent="0.2"/>
    <row r="291" s="947" customFormat="1" ht="16.5" customHeight="1" x14ac:dyDescent="0.2"/>
    <row r="292" s="947" customFormat="1" ht="16.5" customHeight="1" x14ac:dyDescent="0.2"/>
    <row r="293" s="947" customFormat="1" ht="16.5" customHeight="1" x14ac:dyDescent="0.2"/>
    <row r="294" s="947" customFormat="1" ht="16.5" customHeight="1" x14ac:dyDescent="0.2"/>
    <row r="295" s="947" customFormat="1" ht="16.5" customHeight="1" x14ac:dyDescent="0.2"/>
    <row r="296" s="947" customFormat="1" ht="16.5" customHeight="1" x14ac:dyDescent="0.2"/>
    <row r="297" s="947" customFormat="1" ht="16.5" customHeight="1" x14ac:dyDescent="0.2"/>
    <row r="298" s="947" customFormat="1" ht="16.5" customHeight="1" x14ac:dyDescent="0.2"/>
    <row r="299" s="947" customFormat="1" ht="16.5" customHeight="1" x14ac:dyDescent="0.2"/>
    <row r="300" s="947" customFormat="1" ht="16.5" customHeight="1" x14ac:dyDescent="0.2"/>
    <row r="301" s="947" customFormat="1" ht="16.5" customHeight="1" x14ac:dyDescent="0.2"/>
    <row r="302" s="947" customFormat="1" ht="16.5" customHeight="1" x14ac:dyDescent="0.2"/>
    <row r="303" s="947" customFormat="1" ht="16.5" customHeight="1" x14ac:dyDescent="0.2"/>
    <row r="304" s="947" customFormat="1" ht="16.5" customHeight="1" x14ac:dyDescent="0.2"/>
    <row r="305" s="947" customFormat="1" ht="16.5" customHeight="1" x14ac:dyDescent="0.2"/>
    <row r="306" s="947" customFormat="1" ht="16.5" customHeight="1" x14ac:dyDescent="0.2"/>
    <row r="307" s="947" customFormat="1" ht="16.5" customHeight="1" x14ac:dyDescent="0.2"/>
    <row r="308" s="947" customFormat="1" ht="16.5" customHeight="1" x14ac:dyDescent="0.2"/>
    <row r="309" s="947" customFormat="1" ht="16.5" customHeight="1" x14ac:dyDescent="0.2"/>
    <row r="310" s="947" customFormat="1" ht="16.5" customHeight="1" x14ac:dyDescent="0.2"/>
    <row r="311" s="947" customFormat="1" ht="16.5" customHeight="1" x14ac:dyDescent="0.2"/>
    <row r="312" s="947" customFormat="1" ht="16.5" customHeight="1" x14ac:dyDescent="0.2"/>
    <row r="313" s="947" customFormat="1" ht="16.5" customHeight="1" x14ac:dyDescent="0.2"/>
    <row r="314" s="947" customFormat="1" ht="16.5" customHeight="1" x14ac:dyDescent="0.2"/>
    <row r="315" s="947" customFormat="1" ht="16.5" customHeight="1" x14ac:dyDescent="0.2"/>
    <row r="316" s="947" customFormat="1" ht="16.5" customHeight="1" x14ac:dyDescent="0.2"/>
    <row r="317" s="947" customFormat="1" ht="16.5" customHeight="1" x14ac:dyDescent="0.2"/>
    <row r="318" s="947" customFormat="1" ht="16.5" customHeight="1" x14ac:dyDescent="0.2"/>
    <row r="319" s="947" customFormat="1" ht="16.5" customHeight="1" x14ac:dyDescent="0.2"/>
    <row r="320" s="947" customFormat="1" ht="16.5" customHeight="1" x14ac:dyDescent="0.2"/>
    <row r="321" s="947" customFormat="1" ht="16.5" customHeight="1" x14ac:dyDescent="0.2"/>
    <row r="322" s="947" customFormat="1" ht="16.5" customHeight="1" x14ac:dyDescent="0.2"/>
    <row r="323" s="947" customFormat="1" ht="16.5" customHeight="1" x14ac:dyDescent="0.2"/>
    <row r="324" s="947" customFormat="1" ht="16.5" customHeight="1" x14ac:dyDescent="0.2"/>
    <row r="325" s="947" customFormat="1" ht="16.5" customHeight="1" x14ac:dyDescent="0.2"/>
    <row r="326" s="947" customFormat="1" ht="16.5" customHeight="1" x14ac:dyDescent="0.2"/>
    <row r="327" s="947" customFormat="1" ht="16.5" customHeight="1" x14ac:dyDescent="0.2"/>
    <row r="328" s="947" customFormat="1" ht="16.5" customHeight="1" x14ac:dyDescent="0.2"/>
    <row r="329" s="947" customFormat="1" ht="16.5" customHeight="1" x14ac:dyDescent="0.2"/>
    <row r="330" s="947" customFormat="1" ht="16.5" customHeight="1" x14ac:dyDescent="0.2"/>
    <row r="331" s="947" customFormat="1" ht="16.5" customHeight="1" x14ac:dyDescent="0.2"/>
    <row r="332" s="947" customFormat="1" ht="16.5" customHeight="1" x14ac:dyDescent="0.2"/>
    <row r="333" s="947" customFormat="1" ht="16.5" customHeight="1" x14ac:dyDescent="0.2"/>
    <row r="334" s="947" customFormat="1" ht="16.5" customHeight="1" x14ac:dyDescent="0.2"/>
    <row r="335" s="947" customFormat="1" ht="16.5" customHeight="1" x14ac:dyDescent="0.2"/>
    <row r="336" s="947" customFormat="1" ht="16.5" customHeight="1" x14ac:dyDescent="0.2"/>
    <row r="337" s="947" customFormat="1" ht="16.5" customHeight="1" x14ac:dyDescent="0.2"/>
    <row r="338" s="947" customFormat="1" ht="16.5" customHeight="1" x14ac:dyDescent="0.2"/>
    <row r="339" s="947" customFormat="1" ht="16.5" customHeight="1" x14ac:dyDescent="0.2"/>
    <row r="340" s="947" customFormat="1" ht="16.5" customHeight="1" x14ac:dyDescent="0.2"/>
    <row r="341" s="947" customFormat="1" ht="16.5" customHeight="1" x14ac:dyDescent="0.2"/>
    <row r="342" s="947" customFormat="1" ht="16.5" customHeight="1" x14ac:dyDescent="0.2"/>
    <row r="343" s="947" customFormat="1" ht="16.5" customHeight="1" x14ac:dyDescent="0.2"/>
    <row r="344" s="947" customFormat="1" ht="16.5" customHeight="1" x14ac:dyDescent="0.2"/>
    <row r="345" s="947" customFormat="1" ht="16.5" customHeight="1" x14ac:dyDescent="0.2"/>
    <row r="346" s="947" customFormat="1" ht="16.5" customHeight="1" x14ac:dyDescent="0.2"/>
    <row r="347" s="947" customFormat="1" ht="16.5" customHeight="1" x14ac:dyDescent="0.2"/>
    <row r="348" s="947" customFormat="1" ht="16.5" customHeight="1" x14ac:dyDescent="0.2"/>
    <row r="349" s="947" customFormat="1" ht="16.5" customHeight="1" x14ac:dyDescent="0.2"/>
    <row r="350" s="947" customFormat="1" ht="16.5" customHeight="1" x14ac:dyDescent="0.2"/>
    <row r="351" s="947" customFormat="1" ht="16.5" customHeight="1" x14ac:dyDescent="0.2"/>
    <row r="352" s="947" customFormat="1" ht="16.5" customHeight="1" x14ac:dyDescent="0.2"/>
    <row r="353" s="947" customFormat="1" ht="16.5" customHeight="1" x14ac:dyDescent="0.2"/>
    <row r="354" s="947" customFormat="1" ht="16.5" customHeight="1" x14ac:dyDescent="0.2"/>
    <row r="355" s="947" customFormat="1" ht="16.5" customHeight="1" x14ac:dyDescent="0.2"/>
    <row r="356" s="947" customFormat="1" ht="16.5" customHeight="1" x14ac:dyDescent="0.2"/>
    <row r="357" s="947" customFormat="1" ht="16.5" customHeight="1" x14ac:dyDescent="0.2"/>
    <row r="358" s="947" customFormat="1" ht="16.5" customHeight="1" x14ac:dyDescent="0.2"/>
    <row r="359" s="947" customFormat="1" ht="16.5" customHeight="1" x14ac:dyDescent="0.2"/>
    <row r="360" s="947" customFormat="1" ht="16.5" customHeight="1" x14ac:dyDescent="0.2"/>
    <row r="361" s="947" customFormat="1" ht="16.5" customHeight="1" x14ac:dyDescent="0.2"/>
    <row r="362" s="947" customFormat="1" ht="16.5" customHeight="1" x14ac:dyDescent="0.2"/>
    <row r="363" s="947" customFormat="1" ht="16.5" customHeight="1" x14ac:dyDescent="0.2"/>
    <row r="364" s="947" customFormat="1" ht="16.5" customHeight="1" x14ac:dyDescent="0.2"/>
    <row r="365" s="947" customFormat="1" ht="16.5" customHeight="1" x14ac:dyDescent="0.2"/>
    <row r="366" s="947" customFormat="1" ht="16.5" customHeight="1" x14ac:dyDescent="0.2"/>
    <row r="367" s="947" customFormat="1" ht="16.5" customHeight="1" x14ac:dyDescent="0.2"/>
    <row r="368" s="947" customFormat="1" ht="16.5" customHeight="1" x14ac:dyDescent="0.2"/>
    <row r="369" s="947" customFormat="1" ht="16.5" customHeight="1" x14ac:dyDescent="0.2"/>
    <row r="370" s="947" customFormat="1" ht="16.5" customHeight="1" x14ac:dyDescent="0.2"/>
    <row r="371" s="947" customFormat="1" ht="16.5" customHeight="1" x14ac:dyDescent="0.2"/>
    <row r="372" s="947" customFormat="1" ht="16.5" customHeight="1" x14ac:dyDescent="0.2"/>
    <row r="373" s="947" customFormat="1" ht="16.5" customHeight="1" x14ac:dyDescent="0.2"/>
    <row r="374" s="947" customFormat="1" ht="16.5" customHeight="1" x14ac:dyDescent="0.2"/>
    <row r="375" s="947" customFormat="1" ht="16.5" customHeight="1" x14ac:dyDescent="0.2"/>
    <row r="376" s="947" customFormat="1" ht="16.5" customHeight="1" x14ac:dyDescent="0.2"/>
    <row r="377" s="947" customFormat="1" ht="16.5" customHeight="1" x14ac:dyDescent="0.2"/>
    <row r="378" s="947" customFormat="1" ht="16.5" customHeight="1" x14ac:dyDescent="0.2"/>
    <row r="379" s="947" customFormat="1" ht="16.5" customHeight="1" x14ac:dyDescent="0.2"/>
    <row r="380" s="947" customFormat="1" ht="16.5" customHeight="1" x14ac:dyDescent="0.2"/>
    <row r="381" s="947" customFormat="1" ht="16.5" customHeight="1" x14ac:dyDescent="0.2"/>
    <row r="382" s="947" customFormat="1" ht="16.5" customHeight="1" x14ac:dyDescent="0.2"/>
    <row r="383" s="947" customFormat="1" ht="16.5" customHeight="1" x14ac:dyDescent="0.2"/>
    <row r="384" s="947" customFormat="1" ht="16.5" customHeight="1" x14ac:dyDescent="0.2"/>
    <row r="385" s="947" customFormat="1" ht="16.5" customHeight="1" x14ac:dyDescent="0.2"/>
    <row r="386" s="947" customFormat="1" ht="16.5" customHeight="1" x14ac:dyDescent="0.2"/>
    <row r="387" s="947" customFormat="1" ht="16.5" customHeight="1" x14ac:dyDescent="0.2"/>
    <row r="388" s="947" customFormat="1" ht="16.5" customHeight="1" x14ac:dyDescent="0.2"/>
    <row r="389" s="947" customFormat="1" ht="16.5" customHeight="1" x14ac:dyDescent="0.2"/>
    <row r="390" s="947" customFormat="1" ht="16.5" customHeight="1" x14ac:dyDescent="0.2"/>
    <row r="391" s="947" customFormat="1" ht="16.5" customHeight="1" x14ac:dyDescent="0.2"/>
    <row r="392" s="947" customFormat="1" ht="16.5" customHeight="1" x14ac:dyDescent="0.2"/>
    <row r="393" s="947" customFormat="1" ht="16.5" customHeight="1" x14ac:dyDescent="0.2"/>
    <row r="394" s="947" customFormat="1" ht="16.5" customHeight="1" x14ac:dyDescent="0.2"/>
    <row r="395" s="947" customFormat="1" ht="16.5" customHeight="1" x14ac:dyDescent="0.2"/>
    <row r="396" s="947" customFormat="1" ht="16.5" customHeight="1" x14ac:dyDescent="0.2"/>
    <row r="397" s="947" customFormat="1" ht="16.5" customHeight="1" x14ac:dyDescent="0.2"/>
    <row r="398" s="947" customFormat="1" ht="16.5" customHeight="1" x14ac:dyDescent="0.2"/>
    <row r="399" s="947" customFormat="1" ht="16.5" customHeight="1" x14ac:dyDescent="0.2"/>
    <row r="400" s="947" customFormat="1" ht="16.5" customHeight="1" x14ac:dyDescent="0.2"/>
    <row r="401" s="947" customFormat="1" ht="16.5" customHeight="1" x14ac:dyDescent="0.2"/>
    <row r="402" s="947" customFormat="1" ht="16.5" customHeight="1" x14ac:dyDescent="0.2"/>
    <row r="403" s="947" customFormat="1" ht="16.5" customHeight="1" x14ac:dyDescent="0.2"/>
    <row r="404" s="947" customFormat="1" ht="16.5" customHeight="1" x14ac:dyDescent="0.2"/>
    <row r="405" s="947" customFormat="1" ht="16.5" customHeight="1" x14ac:dyDescent="0.2"/>
    <row r="406" s="947" customFormat="1" ht="16.5" customHeight="1" x14ac:dyDescent="0.2"/>
    <row r="407" s="947" customFormat="1" ht="16.5" customHeight="1" x14ac:dyDescent="0.2"/>
    <row r="408" s="947" customFormat="1" ht="16.5" customHeight="1" x14ac:dyDescent="0.2"/>
    <row r="409" s="947" customFormat="1" ht="16.5" customHeight="1" x14ac:dyDescent="0.2"/>
    <row r="410" s="947" customFormat="1" ht="16.5" customHeight="1" x14ac:dyDescent="0.2"/>
    <row r="411" s="947" customFormat="1" ht="16.5" customHeight="1" x14ac:dyDescent="0.2"/>
    <row r="412" s="947" customFormat="1" ht="16.5" customHeight="1" x14ac:dyDescent="0.2"/>
    <row r="413" s="947" customFormat="1" ht="16.5" customHeight="1" x14ac:dyDescent="0.2"/>
    <row r="414" s="947" customFormat="1" ht="16.5" customHeight="1" x14ac:dyDescent="0.2"/>
    <row r="415" s="947" customFormat="1" ht="16.5" customHeight="1" x14ac:dyDescent="0.2"/>
    <row r="416" s="947" customFormat="1" ht="16.5" customHeight="1" x14ac:dyDescent="0.2"/>
    <row r="417" s="947" customFormat="1" ht="16.5" customHeight="1" x14ac:dyDescent="0.2"/>
    <row r="418" s="947" customFormat="1" ht="16.5" customHeight="1" x14ac:dyDescent="0.2"/>
    <row r="419" s="947" customFormat="1" ht="16.5" customHeight="1" x14ac:dyDescent="0.2"/>
    <row r="420" s="947" customFormat="1" ht="16.5" customHeight="1" x14ac:dyDescent="0.2"/>
    <row r="421" s="947" customFormat="1" ht="16.5" customHeight="1" x14ac:dyDescent="0.2"/>
    <row r="422" s="947" customFormat="1" ht="16.5" customHeight="1" x14ac:dyDescent="0.2"/>
    <row r="423" s="947" customFormat="1" ht="16.5" customHeight="1" x14ac:dyDescent="0.2"/>
    <row r="424" s="947" customFormat="1" ht="16.5" customHeight="1" x14ac:dyDescent="0.2"/>
    <row r="425" s="947" customFormat="1" ht="16.5" customHeight="1" x14ac:dyDescent="0.2"/>
    <row r="426" s="947" customFormat="1" ht="16.5" customHeight="1" x14ac:dyDescent="0.2"/>
    <row r="427" s="947" customFormat="1" ht="16.5" customHeight="1" x14ac:dyDescent="0.2"/>
    <row r="428" s="947" customFormat="1" ht="16.5" customHeight="1" x14ac:dyDescent="0.2"/>
    <row r="429" s="947" customFormat="1" ht="16.5" customHeight="1" x14ac:dyDescent="0.2"/>
    <row r="430" s="947" customFormat="1" ht="16.5" customHeight="1" x14ac:dyDescent="0.2"/>
    <row r="431" s="947" customFormat="1" ht="16.5" customHeight="1" x14ac:dyDescent="0.2"/>
    <row r="432" s="947" customFormat="1" ht="16.5" customHeight="1" x14ac:dyDescent="0.2"/>
    <row r="433" s="947" customFormat="1" ht="16.5" customHeight="1" x14ac:dyDescent="0.2"/>
    <row r="434" s="947" customFormat="1" ht="16.5" customHeight="1" x14ac:dyDescent="0.2"/>
    <row r="435" s="947" customFormat="1" ht="16.5" customHeight="1" x14ac:dyDescent="0.2"/>
    <row r="436" s="947" customFormat="1" ht="16.5" customHeight="1" x14ac:dyDescent="0.2"/>
    <row r="437" s="947" customFormat="1" ht="16.5" customHeight="1" x14ac:dyDescent="0.2"/>
    <row r="438" s="947" customFormat="1" ht="16.5" customHeight="1" x14ac:dyDescent="0.2"/>
    <row r="439" s="947" customFormat="1" ht="16.5" customHeight="1" x14ac:dyDescent="0.2"/>
    <row r="440" s="947" customFormat="1" ht="16.5" customHeight="1" x14ac:dyDescent="0.2"/>
    <row r="441" s="947" customFormat="1" ht="16.5" customHeight="1" x14ac:dyDescent="0.2"/>
    <row r="442" s="947" customFormat="1" ht="16.5" customHeight="1" x14ac:dyDescent="0.2"/>
    <row r="443" s="947" customFormat="1" ht="16.5" customHeight="1" x14ac:dyDescent="0.2"/>
    <row r="444" s="947" customFormat="1" ht="16.5" customHeight="1" x14ac:dyDescent="0.2"/>
    <row r="445" s="947" customFormat="1" ht="16.5" customHeight="1" x14ac:dyDescent="0.2"/>
    <row r="446" s="947" customFormat="1" ht="16.5" customHeight="1" x14ac:dyDescent="0.2"/>
    <row r="447" s="947" customFormat="1" ht="16.5" customHeight="1" x14ac:dyDescent="0.2"/>
    <row r="448" s="947" customFormat="1" ht="16.5" customHeight="1" x14ac:dyDescent="0.2"/>
    <row r="449" s="947" customFormat="1" ht="16.5" customHeight="1" x14ac:dyDescent="0.2"/>
    <row r="450" s="947" customFormat="1" ht="16.5" customHeight="1" x14ac:dyDescent="0.2"/>
    <row r="451" s="947" customFormat="1" ht="16.5" customHeight="1" x14ac:dyDescent="0.2"/>
    <row r="452" s="947" customFormat="1" ht="16.5" customHeight="1" x14ac:dyDescent="0.2"/>
    <row r="453" s="947" customFormat="1" ht="16.5" customHeight="1" x14ac:dyDescent="0.2"/>
    <row r="454" s="947" customFormat="1" ht="16.5" customHeight="1" x14ac:dyDescent="0.2"/>
    <row r="455" s="947" customFormat="1" ht="16.5" customHeight="1" x14ac:dyDescent="0.2"/>
    <row r="456" s="947" customFormat="1" ht="16.5" customHeight="1" x14ac:dyDescent="0.2"/>
    <row r="457" s="947" customFormat="1" ht="16.5" customHeight="1" x14ac:dyDescent="0.2"/>
    <row r="458" s="947" customFormat="1" ht="16.5" customHeight="1" x14ac:dyDescent="0.2"/>
    <row r="459" s="947" customFormat="1" ht="16.5" customHeight="1" x14ac:dyDescent="0.2"/>
    <row r="460" s="947" customFormat="1" ht="16.5" customHeight="1" x14ac:dyDescent="0.2"/>
    <row r="461" s="947" customFormat="1" ht="16.5" customHeight="1" x14ac:dyDescent="0.2"/>
    <row r="462" s="947" customFormat="1" ht="16.5" customHeight="1" x14ac:dyDescent="0.2"/>
    <row r="463" s="947" customFormat="1" ht="16.5" customHeight="1" x14ac:dyDescent="0.2"/>
    <row r="464" s="947" customFormat="1" ht="16.5" customHeight="1" x14ac:dyDescent="0.2"/>
    <row r="465" s="947" customFormat="1" ht="16.5" customHeight="1" x14ac:dyDescent="0.2"/>
    <row r="466" s="947" customFormat="1" ht="16.5" customHeight="1" x14ac:dyDescent="0.2"/>
    <row r="467" s="947" customFormat="1" ht="16.5" customHeight="1" x14ac:dyDescent="0.2"/>
    <row r="468" s="947" customFormat="1" ht="16.5" customHeight="1" x14ac:dyDescent="0.2"/>
    <row r="469" s="947" customFormat="1" ht="16.5" customHeight="1" x14ac:dyDescent="0.2"/>
    <row r="470" s="947" customFormat="1" ht="16.5" customHeight="1" x14ac:dyDescent="0.2"/>
    <row r="471" s="947" customFormat="1" ht="16.5" customHeight="1" x14ac:dyDescent="0.2"/>
    <row r="472" s="947" customFormat="1" ht="16.5" customHeight="1" x14ac:dyDescent="0.2"/>
    <row r="473" s="947" customFormat="1" ht="16.5" customHeight="1" x14ac:dyDescent="0.2"/>
    <row r="474" s="947" customFormat="1" ht="16.5" customHeight="1" x14ac:dyDescent="0.2"/>
    <row r="475" s="947" customFormat="1" ht="16.5" customHeight="1" x14ac:dyDescent="0.2"/>
    <row r="476" s="947" customFormat="1" ht="16.5" customHeight="1" x14ac:dyDescent="0.2"/>
    <row r="477" s="947" customFormat="1" ht="16.5" customHeight="1" x14ac:dyDescent="0.2"/>
    <row r="478" s="947" customFormat="1" ht="16.5" customHeight="1" x14ac:dyDescent="0.2"/>
    <row r="479" s="947" customFormat="1" ht="16.5" customHeight="1" x14ac:dyDescent="0.2"/>
    <row r="480" s="947" customFormat="1" ht="16.5" customHeight="1" x14ac:dyDescent="0.2"/>
    <row r="481" s="947" customFormat="1" ht="16.5" customHeight="1" x14ac:dyDescent="0.2"/>
    <row r="482" s="947" customFormat="1" ht="16.5" customHeight="1" x14ac:dyDescent="0.2"/>
    <row r="483" s="947" customFormat="1" ht="16.5" customHeight="1" x14ac:dyDescent="0.2"/>
    <row r="484" s="947" customFormat="1" ht="16.5" customHeight="1" x14ac:dyDescent="0.2"/>
    <row r="485" s="947" customFormat="1" ht="16.5" customHeight="1" x14ac:dyDescent="0.2"/>
    <row r="486" s="947" customFormat="1" ht="16.5" customHeight="1" x14ac:dyDescent="0.2"/>
    <row r="487" s="947" customFormat="1" ht="16.5" customHeight="1" x14ac:dyDescent="0.2"/>
    <row r="488" s="947" customFormat="1" ht="16.5" customHeight="1" x14ac:dyDescent="0.2"/>
    <row r="489" s="947" customFormat="1" ht="16.5" customHeight="1" x14ac:dyDescent="0.2"/>
    <row r="490" s="947" customFormat="1" ht="16.5" customHeight="1" x14ac:dyDescent="0.2"/>
    <row r="491" s="947" customFormat="1" ht="16.5" customHeight="1" x14ac:dyDescent="0.2"/>
    <row r="492" s="947" customFormat="1" ht="16.5" customHeight="1" x14ac:dyDescent="0.2"/>
    <row r="493" s="947" customFormat="1" ht="16.5" customHeight="1" x14ac:dyDescent="0.2"/>
    <row r="494" s="947" customFormat="1" ht="16.5" customHeight="1" x14ac:dyDescent="0.2"/>
    <row r="495" s="947" customFormat="1" ht="16.5" customHeight="1" x14ac:dyDescent="0.2"/>
    <row r="496" s="947" customFormat="1" ht="16.5" customHeight="1" x14ac:dyDescent="0.2"/>
    <row r="497" s="947" customFormat="1" ht="16.5" customHeight="1" x14ac:dyDescent="0.2"/>
    <row r="498" s="947" customFormat="1" ht="16.5" customHeight="1" x14ac:dyDescent="0.2"/>
    <row r="499" s="947" customFormat="1" ht="16.5" customHeight="1" x14ac:dyDescent="0.2"/>
    <row r="500" s="947" customFormat="1" ht="16.5" customHeight="1" x14ac:dyDescent="0.2"/>
    <row r="501" s="947" customFormat="1" ht="16.5" customHeight="1" x14ac:dyDescent="0.2"/>
    <row r="502" s="947" customFormat="1" ht="16.5" customHeight="1" x14ac:dyDescent="0.2"/>
    <row r="503" s="947" customFormat="1" ht="16.5" customHeight="1" x14ac:dyDescent="0.2"/>
    <row r="504" s="947" customFormat="1" ht="16.5" customHeight="1" x14ac:dyDescent="0.2"/>
    <row r="505" s="947" customFormat="1" ht="16.5" customHeight="1" x14ac:dyDescent="0.2"/>
    <row r="506" s="947" customFormat="1" ht="16.5" customHeight="1" x14ac:dyDescent="0.2"/>
    <row r="507" s="947" customFormat="1" ht="16.5" customHeight="1" x14ac:dyDescent="0.2"/>
    <row r="508" s="947" customFormat="1" ht="16.5" customHeight="1" x14ac:dyDescent="0.2"/>
    <row r="509" s="947" customFormat="1" ht="16.5" customHeight="1" x14ac:dyDescent="0.2"/>
    <row r="510" s="947" customFormat="1" ht="16.5" customHeight="1" x14ac:dyDescent="0.2"/>
    <row r="511" s="947" customFormat="1" ht="16.5" customHeight="1" x14ac:dyDescent="0.2"/>
    <row r="512" s="947" customFormat="1" ht="16.5" customHeight="1" x14ac:dyDescent="0.2"/>
    <row r="513" s="947" customFormat="1" ht="16.5" customHeight="1" x14ac:dyDescent="0.2"/>
    <row r="514" s="947" customFormat="1" ht="16.5" customHeight="1" x14ac:dyDescent="0.2"/>
    <row r="515" s="947" customFormat="1" ht="16.5" customHeight="1" x14ac:dyDescent="0.2"/>
    <row r="516" s="947" customFormat="1" ht="16.5" customHeight="1" x14ac:dyDescent="0.2"/>
    <row r="517" s="947" customFormat="1" ht="16.5" customHeight="1" x14ac:dyDescent="0.2"/>
    <row r="518" s="947" customFormat="1" ht="16.5" customHeight="1" x14ac:dyDescent="0.2"/>
    <row r="519" s="947" customFormat="1" ht="16.5" customHeight="1" x14ac:dyDescent="0.2"/>
    <row r="520" s="947" customFormat="1" ht="16.5" customHeight="1" x14ac:dyDescent="0.2"/>
    <row r="521" s="947" customFormat="1" ht="16.5" customHeight="1" x14ac:dyDescent="0.2"/>
    <row r="522" s="947" customFormat="1" ht="16.5" customHeight="1" x14ac:dyDescent="0.2"/>
    <row r="523" s="947" customFormat="1" ht="16.5" customHeight="1" x14ac:dyDescent="0.2"/>
    <row r="524" s="947" customFormat="1" ht="16.5" customHeight="1" x14ac:dyDescent="0.2"/>
    <row r="525" s="947" customFormat="1" ht="16.5" customHeight="1" x14ac:dyDescent="0.2"/>
    <row r="526" s="947" customFormat="1" ht="16.5" customHeight="1" x14ac:dyDescent="0.2"/>
    <row r="527" s="947" customFormat="1" ht="16.5" customHeight="1" x14ac:dyDescent="0.2"/>
    <row r="528" s="947" customFormat="1" ht="16.5" customHeight="1" x14ac:dyDescent="0.2"/>
    <row r="529" s="947" customFormat="1" ht="16.5" customHeight="1" x14ac:dyDescent="0.2"/>
    <row r="530" s="947" customFormat="1" ht="16.5" customHeight="1" x14ac:dyDescent="0.2"/>
    <row r="531" s="947" customFormat="1" ht="16.5" customHeight="1" x14ac:dyDescent="0.2"/>
    <row r="532" s="947" customFormat="1" ht="16.5" customHeight="1" x14ac:dyDescent="0.2"/>
    <row r="533" s="947" customFormat="1" ht="16.5" customHeight="1" x14ac:dyDescent="0.2"/>
    <row r="534" s="947" customFormat="1" ht="16.5" customHeight="1" x14ac:dyDescent="0.2"/>
    <row r="535" s="947" customFormat="1" ht="16.5" customHeight="1" x14ac:dyDescent="0.2"/>
    <row r="536" s="947" customFormat="1" ht="16.5" customHeight="1" x14ac:dyDescent="0.2"/>
    <row r="537" s="947" customFormat="1" ht="16.5" customHeight="1" x14ac:dyDescent="0.2"/>
    <row r="538" s="947" customFormat="1" ht="16.5" customHeight="1" x14ac:dyDescent="0.2"/>
    <row r="539" s="947" customFormat="1" ht="16.5" customHeight="1" x14ac:dyDescent="0.2"/>
    <row r="540" s="947" customFormat="1" ht="16.5" customHeight="1" x14ac:dyDescent="0.2"/>
    <row r="541" s="947" customFormat="1" ht="16.5" customHeight="1" x14ac:dyDescent="0.2"/>
    <row r="542" s="947" customFormat="1" ht="16.5" customHeight="1" x14ac:dyDescent="0.2"/>
    <row r="543" s="947" customFormat="1" ht="16.5" customHeight="1" x14ac:dyDescent="0.2"/>
    <row r="544" s="947" customFormat="1" ht="16.5" customHeight="1" x14ac:dyDescent="0.2"/>
    <row r="545" s="947" customFormat="1" ht="16.5" customHeight="1" x14ac:dyDescent="0.2"/>
    <row r="546" s="947" customFormat="1" ht="16.5" customHeight="1" x14ac:dyDescent="0.2"/>
    <row r="547" s="947" customFormat="1" ht="16.5" customHeight="1" x14ac:dyDescent="0.2"/>
    <row r="548" s="947" customFormat="1" ht="16.5" customHeight="1" x14ac:dyDescent="0.2"/>
    <row r="549" s="947" customFormat="1" ht="16.5" customHeight="1" x14ac:dyDescent="0.2"/>
    <row r="550" s="947" customFormat="1" ht="16.5" customHeight="1" x14ac:dyDescent="0.2"/>
    <row r="551" s="947" customFormat="1" ht="16.5" customHeight="1" x14ac:dyDescent="0.2"/>
    <row r="552" s="947" customFormat="1" ht="16.5" customHeight="1" x14ac:dyDescent="0.2"/>
    <row r="553" s="947" customFormat="1" ht="16.5" customHeight="1" x14ac:dyDescent="0.2"/>
    <row r="554" s="947" customFormat="1" ht="16.5" customHeight="1" x14ac:dyDescent="0.2"/>
    <row r="555" s="947" customFormat="1" ht="16.5" customHeight="1" x14ac:dyDescent="0.2"/>
    <row r="556" s="947" customFormat="1" ht="16.5" customHeight="1" x14ac:dyDescent="0.2"/>
    <row r="557" s="947" customFormat="1" ht="16.5" customHeight="1" x14ac:dyDescent="0.2"/>
    <row r="558" s="947" customFormat="1" ht="16.5" customHeight="1" x14ac:dyDescent="0.2"/>
    <row r="559" s="947" customFormat="1" ht="16.5" customHeight="1" x14ac:dyDescent="0.2"/>
    <row r="560" s="947" customFormat="1" ht="16.5" customHeight="1" x14ac:dyDescent="0.2"/>
    <row r="561" s="947" customFormat="1" ht="16.5" customHeight="1" x14ac:dyDescent="0.2"/>
    <row r="562" s="947" customFormat="1" ht="16.5" customHeight="1" x14ac:dyDescent="0.2"/>
    <row r="563" s="947" customFormat="1" ht="16.5" customHeight="1" x14ac:dyDescent="0.2"/>
    <row r="564" s="947" customFormat="1" ht="16.5" customHeight="1" x14ac:dyDescent="0.2"/>
    <row r="565" s="947" customFormat="1" ht="16.5" customHeight="1" x14ac:dyDescent="0.2"/>
    <row r="566" s="947" customFormat="1" ht="16.5" customHeight="1" x14ac:dyDescent="0.2"/>
    <row r="567" s="947" customFormat="1" ht="16.5" customHeight="1" x14ac:dyDescent="0.2"/>
    <row r="568" s="947" customFormat="1" ht="16.5" customHeight="1" x14ac:dyDescent="0.2"/>
    <row r="569" s="947" customFormat="1" ht="16.5" customHeight="1" x14ac:dyDescent="0.2"/>
    <row r="570" s="947" customFormat="1" ht="16.5" customHeight="1" x14ac:dyDescent="0.2"/>
    <row r="571" s="947" customFormat="1" ht="16.5" customHeight="1" x14ac:dyDescent="0.2"/>
    <row r="572" s="947" customFormat="1" ht="16.5" customHeight="1" x14ac:dyDescent="0.2"/>
    <row r="573" s="947" customFormat="1" ht="16.5" customHeight="1" x14ac:dyDescent="0.2"/>
    <row r="574" s="947" customFormat="1" ht="16.5" customHeight="1" x14ac:dyDescent="0.2"/>
    <row r="575" s="947" customFormat="1" ht="16.5" customHeight="1" x14ac:dyDescent="0.2"/>
    <row r="576" s="947" customFormat="1" ht="16.5" customHeight="1" x14ac:dyDescent="0.2"/>
    <row r="577" s="947" customFormat="1" ht="16.5" customHeight="1" x14ac:dyDescent="0.2"/>
    <row r="578" s="947" customFormat="1" ht="16.5" customHeight="1" x14ac:dyDescent="0.2"/>
    <row r="579" s="947" customFormat="1" ht="16.5" customHeight="1" x14ac:dyDescent="0.2"/>
    <row r="580" s="947" customFormat="1" ht="16.5" customHeight="1" x14ac:dyDescent="0.2"/>
    <row r="581" s="947" customFormat="1" ht="16.5" customHeight="1" x14ac:dyDescent="0.2"/>
    <row r="582" s="947" customFormat="1" ht="16.5" customHeight="1" x14ac:dyDescent="0.2"/>
    <row r="583" s="947" customFormat="1" ht="16.5" customHeight="1" x14ac:dyDescent="0.2"/>
    <row r="584" s="947" customFormat="1" ht="16.5" customHeight="1" x14ac:dyDescent="0.2"/>
    <row r="585" s="947" customFormat="1" ht="16.5" customHeight="1" x14ac:dyDescent="0.2"/>
    <row r="586" s="947" customFormat="1" ht="16.5" customHeight="1" x14ac:dyDescent="0.2"/>
    <row r="587" s="947" customFormat="1" ht="16.5" customHeight="1" x14ac:dyDescent="0.2"/>
    <row r="588" s="947" customFormat="1" ht="16.5" customHeight="1" x14ac:dyDescent="0.2"/>
    <row r="589" s="947" customFormat="1" ht="16.5" customHeight="1" x14ac:dyDescent="0.2"/>
    <row r="590" s="947" customFormat="1" ht="16.5" customHeight="1" x14ac:dyDescent="0.2"/>
    <row r="591" s="947" customFormat="1" ht="16.5" customHeight="1" x14ac:dyDescent="0.2"/>
    <row r="592" s="947" customFormat="1" ht="16.5" customHeight="1" x14ac:dyDescent="0.2"/>
    <row r="593" s="947" customFormat="1" ht="16.5" customHeight="1" x14ac:dyDescent="0.2"/>
    <row r="594" s="947" customFormat="1" ht="16.5" customHeight="1" x14ac:dyDescent="0.2"/>
    <row r="595" s="947" customFormat="1" ht="16.5" customHeight="1" x14ac:dyDescent="0.2"/>
    <row r="596" s="947" customFormat="1" ht="16.5" customHeight="1" x14ac:dyDescent="0.2"/>
    <row r="597" s="947" customFormat="1" ht="16.5" customHeight="1" x14ac:dyDescent="0.2"/>
    <row r="598" s="947" customFormat="1" ht="16.5" customHeight="1" x14ac:dyDescent="0.2"/>
    <row r="599" s="947" customFormat="1" ht="16.5" customHeight="1" x14ac:dyDescent="0.2"/>
    <row r="600" s="947" customFormat="1" ht="16.5" customHeight="1" x14ac:dyDescent="0.2"/>
    <row r="601" s="947" customFormat="1" ht="16.5" customHeight="1" x14ac:dyDescent="0.2"/>
    <row r="602" s="947" customFormat="1" ht="16.5" customHeight="1" x14ac:dyDescent="0.2"/>
    <row r="603" s="947" customFormat="1" ht="16.5" customHeight="1" x14ac:dyDescent="0.2"/>
    <row r="604" s="947" customFormat="1" ht="16.5" customHeight="1" x14ac:dyDescent="0.2"/>
    <row r="605" s="947" customFormat="1" ht="16.5" customHeight="1" x14ac:dyDescent="0.2"/>
    <row r="606" s="947" customFormat="1" ht="16.5" customHeight="1" x14ac:dyDescent="0.2"/>
    <row r="607" s="947" customFormat="1" ht="16.5" customHeight="1" x14ac:dyDescent="0.2"/>
    <row r="608" s="947" customFormat="1" ht="16.5" customHeight="1" x14ac:dyDescent="0.2"/>
    <row r="609" s="947" customFormat="1" ht="16.5" customHeight="1" x14ac:dyDescent="0.2"/>
    <row r="610" s="947" customFormat="1" ht="16.5" customHeight="1" x14ac:dyDescent="0.2"/>
    <row r="611" s="947" customFormat="1" ht="16.5" customHeight="1" x14ac:dyDescent="0.2"/>
    <row r="612" s="947" customFormat="1" ht="16.5" customHeight="1" x14ac:dyDescent="0.2"/>
    <row r="613" s="947" customFormat="1" ht="16.5" customHeight="1" x14ac:dyDescent="0.2"/>
    <row r="614" s="947" customFormat="1" ht="16.5" customHeight="1" x14ac:dyDescent="0.2"/>
    <row r="615" s="947" customFormat="1" ht="16.5" customHeight="1" x14ac:dyDescent="0.2"/>
    <row r="616" s="947" customFormat="1" ht="16.5" customHeight="1" x14ac:dyDescent="0.2"/>
    <row r="617" s="947" customFormat="1" ht="16.5" customHeight="1" x14ac:dyDescent="0.2"/>
    <row r="618" s="947" customFormat="1" ht="16.5" customHeight="1" x14ac:dyDescent="0.2"/>
    <row r="619" s="947" customFormat="1" ht="16.5" customHeight="1" x14ac:dyDescent="0.2"/>
    <row r="620" s="947" customFormat="1" ht="16.5" customHeight="1" x14ac:dyDescent="0.2"/>
    <row r="621" s="947" customFormat="1" ht="16.5" customHeight="1" x14ac:dyDescent="0.2"/>
    <row r="622" s="947" customFormat="1" ht="16.5" customHeight="1" x14ac:dyDescent="0.2"/>
    <row r="623" s="947" customFormat="1" ht="16.5" customHeight="1" x14ac:dyDescent="0.2"/>
    <row r="624" s="947" customFormat="1" ht="16.5" customHeight="1" x14ac:dyDescent="0.2"/>
    <row r="625" s="947" customFormat="1" ht="16.5" customHeight="1" x14ac:dyDescent="0.2"/>
    <row r="626" s="947" customFormat="1" ht="16.5" customHeight="1" x14ac:dyDescent="0.2"/>
    <row r="627" s="947" customFormat="1" ht="16.5" customHeight="1" x14ac:dyDescent="0.2"/>
    <row r="628" s="947" customFormat="1" ht="16.5" customHeight="1" x14ac:dyDescent="0.2"/>
    <row r="629" s="947" customFormat="1" ht="16.5" customHeight="1" x14ac:dyDescent="0.2"/>
    <row r="630" s="947" customFormat="1" ht="16.5" customHeight="1" x14ac:dyDescent="0.2"/>
    <row r="631" s="947" customFormat="1" ht="16.5" customHeight="1" x14ac:dyDescent="0.2"/>
    <row r="632" s="947" customFormat="1" ht="16.5" customHeight="1" x14ac:dyDescent="0.2"/>
    <row r="633" s="947" customFormat="1" ht="16.5" customHeight="1" x14ac:dyDescent="0.2"/>
    <row r="634" s="947" customFormat="1" ht="16.5" customHeight="1" x14ac:dyDescent="0.2"/>
    <row r="635" s="947" customFormat="1" ht="16.5" customHeight="1" x14ac:dyDescent="0.2"/>
    <row r="636" s="947" customFormat="1" ht="16.5" customHeight="1" x14ac:dyDescent="0.2"/>
    <row r="637" s="947" customFormat="1" ht="16.5" customHeight="1" x14ac:dyDescent="0.2"/>
    <row r="638" s="947" customFormat="1" ht="16.5" customHeight="1" x14ac:dyDescent="0.2"/>
    <row r="639" s="947" customFormat="1" ht="16.5" customHeight="1" x14ac:dyDescent="0.2"/>
    <row r="640" s="947" customFormat="1" ht="16.5" customHeight="1" x14ac:dyDescent="0.2"/>
    <row r="641" s="947" customFormat="1" ht="16.5" customHeight="1" x14ac:dyDescent="0.2"/>
    <row r="642" s="947" customFormat="1" ht="16.5" customHeight="1" x14ac:dyDescent="0.2"/>
    <row r="643" s="947" customFormat="1" ht="16.5" customHeight="1" x14ac:dyDescent="0.2"/>
    <row r="644" s="947" customFormat="1" ht="16.5" customHeight="1" x14ac:dyDescent="0.2"/>
    <row r="645" s="947" customFormat="1" ht="16.5" customHeight="1" x14ac:dyDescent="0.2"/>
    <row r="646" s="947" customFormat="1" ht="16.5" customHeight="1" x14ac:dyDescent="0.2"/>
    <row r="647" s="947" customFormat="1" ht="16.5" customHeight="1" x14ac:dyDescent="0.2"/>
    <row r="648" s="947" customFormat="1" ht="16.5" customHeight="1" x14ac:dyDescent="0.2"/>
    <row r="649" s="947" customFormat="1" ht="16.5" customHeight="1" x14ac:dyDescent="0.2"/>
    <row r="650" s="947" customFormat="1" ht="16.5" customHeight="1" x14ac:dyDescent="0.2"/>
    <row r="651" s="947" customFormat="1" ht="16.5" customHeight="1" x14ac:dyDescent="0.2"/>
    <row r="652" s="947" customFormat="1" ht="16.5" customHeight="1" x14ac:dyDescent="0.2"/>
    <row r="653" s="947" customFormat="1" ht="16.5" customHeight="1" x14ac:dyDescent="0.2"/>
    <row r="654" s="947" customFormat="1" ht="16.5" customHeight="1" x14ac:dyDescent="0.2"/>
    <row r="655" s="947" customFormat="1" ht="16.5" customHeight="1" x14ac:dyDescent="0.2"/>
    <row r="656" s="947" customFormat="1" ht="16.5" customHeight="1" x14ac:dyDescent="0.2"/>
    <row r="657" s="947" customFormat="1" ht="16.5" customHeight="1" x14ac:dyDescent="0.2"/>
    <row r="658" s="947" customFormat="1" ht="16.5" customHeight="1" x14ac:dyDescent="0.2"/>
    <row r="659" s="947" customFormat="1" ht="16.5" customHeight="1" x14ac:dyDescent="0.2"/>
    <row r="660" s="947" customFormat="1" ht="16.5" customHeight="1" x14ac:dyDescent="0.2"/>
    <row r="661" s="947" customFormat="1" ht="16.5" customHeight="1" x14ac:dyDescent="0.2"/>
    <row r="662" s="947" customFormat="1" ht="16.5" customHeight="1" x14ac:dyDescent="0.2"/>
    <row r="663" s="947" customFormat="1" ht="16.5" customHeight="1" x14ac:dyDescent="0.2"/>
    <row r="664" s="947" customFormat="1" ht="16.5" customHeight="1" x14ac:dyDescent="0.2"/>
    <row r="665" s="947" customFormat="1" ht="16.5" customHeight="1" x14ac:dyDescent="0.2"/>
    <row r="666" s="947" customFormat="1" ht="16.5" customHeight="1" x14ac:dyDescent="0.2"/>
    <row r="667" s="947" customFormat="1" ht="16.5" customHeight="1" x14ac:dyDescent="0.2"/>
    <row r="668" s="947" customFormat="1" ht="16.5" customHeight="1" x14ac:dyDescent="0.2"/>
    <row r="669" s="947" customFormat="1" ht="16.5" customHeight="1" x14ac:dyDescent="0.2"/>
    <row r="670" s="947" customFormat="1" ht="16.5" customHeight="1" x14ac:dyDescent="0.2"/>
    <row r="671" s="947" customFormat="1" ht="16.5" customHeight="1" x14ac:dyDescent="0.2"/>
    <row r="672" s="947" customFormat="1" ht="16.5" customHeight="1" x14ac:dyDescent="0.2"/>
    <row r="673" s="947" customFormat="1" ht="16.5" customHeight="1" x14ac:dyDescent="0.2"/>
    <row r="674" s="947" customFormat="1" ht="16.5" customHeight="1" x14ac:dyDescent="0.2"/>
    <row r="675" s="947" customFormat="1" ht="16.5" customHeight="1" x14ac:dyDescent="0.2"/>
    <row r="676" s="947" customFormat="1" ht="16.5" customHeight="1" x14ac:dyDescent="0.2"/>
    <row r="677" s="947" customFormat="1" ht="16.5" customHeight="1" x14ac:dyDescent="0.2"/>
    <row r="678" s="947" customFormat="1" ht="16.5" customHeight="1" x14ac:dyDescent="0.2"/>
    <row r="679" s="947" customFormat="1" ht="16.5" customHeight="1" x14ac:dyDescent="0.2"/>
    <row r="680" s="947" customFormat="1" ht="16.5" customHeight="1" x14ac:dyDescent="0.2"/>
    <row r="681" s="947" customFormat="1" ht="16.5" customHeight="1" x14ac:dyDescent="0.2"/>
    <row r="682" s="947" customFormat="1" ht="16.5" customHeight="1" x14ac:dyDescent="0.2"/>
    <row r="683" s="947" customFormat="1" ht="16.5" customHeight="1" x14ac:dyDescent="0.2"/>
    <row r="684" s="947" customFormat="1" ht="16.5" customHeight="1" x14ac:dyDescent="0.2"/>
    <row r="685" s="947" customFormat="1" ht="16.5" customHeight="1" x14ac:dyDescent="0.2"/>
    <row r="686" s="947" customFormat="1" ht="16.5" customHeight="1" x14ac:dyDescent="0.2"/>
    <row r="687" s="947" customFormat="1" ht="16.5" customHeight="1" x14ac:dyDescent="0.2"/>
    <row r="688" s="947" customFormat="1" ht="16.5" customHeight="1" x14ac:dyDescent="0.2"/>
    <row r="689" s="947" customFormat="1" ht="16.5" customHeight="1" x14ac:dyDescent="0.2"/>
    <row r="690" s="947" customFormat="1" ht="16.5" customHeight="1" x14ac:dyDescent="0.2"/>
    <row r="691" s="947" customFormat="1" ht="16.5" customHeight="1" x14ac:dyDescent="0.2"/>
    <row r="692" s="947" customFormat="1" ht="16.5" customHeight="1" x14ac:dyDescent="0.2"/>
    <row r="693" s="947" customFormat="1" ht="16.5" customHeight="1" x14ac:dyDescent="0.2"/>
    <row r="694" s="947" customFormat="1" ht="16.5" customHeight="1" x14ac:dyDescent="0.2"/>
    <row r="695" s="947" customFormat="1" ht="16.5" customHeight="1" x14ac:dyDescent="0.2"/>
    <row r="696" s="947" customFormat="1" ht="16.5" customHeight="1" x14ac:dyDescent="0.2"/>
    <row r="697" s="947" customFormat="1" ht="16.5" customHeight="1" x14ac:dyDescent="0.2"/>
    <row r="698" s="947" customFormat="1" ht="16.5" customHeight="1" x14ac:dyDescent="0.2"/>
    <row r="699" s="947" customFormat="1" ht="16.5" customHeight="1" x14ac:dyDescent="0.2"/>
    <row r="700" s="947" customFormat="1" ht="16.5" customHeight="1" x14ac:dyDescent="0.2"/>
    <row r="701" s="947" customFormat="1" ht="16.5" customHeight="1" x14ac:dyDescent="0.2"/>
    <row r="702" s="947" customFormat="1" ht="16.5" customHeight="1" x14ac:dyDescent="0.2"/>
    <row r="703" s="947" customFormat="1" ht="16.5" customHeight="1" x14ac:dyDescent="0.2"/>
    <row r="704" s="947" customFormat="1" ht="16.5" customHeight="1" x14ac:dyDescent="0.2"/>
    <row r="705" s="947" customFormat="1" ht="16.5" customHeight="1" x14ac:dyDescent="0.2"/>
    <row r="706" s="947" customFormat="1" ht="16.5" customHeight="1" x14ac:dyDescent="0.2"/>
    <row r="707" s="947" customFormat="1" ht="16.5" customHeight="1" x14ac:dyDescent="0.2"/>
    <row r="708" s="947" customFormat="1" ht="16.5" customHeight="1" x14ac:dyDescent="0.2"/>
    <row r="709" s="947" customFormat="1" ht="16.5" customHeight="1" x14ac:dyDescent="0.2"/>
    <row r="710" s="947" customFormat="1" ht="16.5" customHeight="1" x14ac:dyDescent="0.2"/>
    <row r="711" s="947" customFormat="1" ht="16.5" customHeight="1" x14ac:dyDescent="0.2"/>
    <row r="712" s="947" customFormat="1" ht="16.5" customHeight="1" x14ac:dyDescent="0.2"/>
    <row r="713" s="947" customFormat="1" ht="16.5" customHeight="1" x14ac:dyDescent="0.2"/>
    <row r="714" s="947" customFormat="1" ht="16.5" customHeight="1" x14ac:dyDescent="0.2"/>
    <row r="715" s="947" customFormat="1" ht="16.5" customHeight="1" x14ac:dyDescent="0.2"/>
    <row r="716" s="947" customFormat="1" ht="16.5" customHeight="1" x14ac:dyDescent="0.2"/>
    <row r="717" s="947" customFormat="1" ht="16.5" customHeight="1" x14ac:dyDescent="0.2"/>
    <row r="718" s="947" customFormat="1" ht="16.5" customHeight="1" x14ac:dyDescent="0.2"/>
    <row r="719" s="947" customFormat="1" ht="16.5" customHeight="1" x14ac:dyDescent="0.2"/>
    <row r="720" s="947" customFormat="1" ht="16.5" customHeight="1" x14ac:dyDescent="0.2"/>
    <row r="721" s="947" customFormat="1" ht="16.5" customHeight="1" x14ac:dyDescent="0.2"/>
    <row r="722" s="947" customFormat="1" ht="16.5" customHeight="1" x14ac:dyDescent="0.2"/>
    <row r="723" s="947" customFormat="1" ht="16.5" customHeight="1" x14ac:dyDescent="0.2"/>
    <row r="724" s="947" customFormat="1" ht="16.5" customHeight="1" x14ac:dyDescent="0.2"/>
    <row r="725" s="947" customFormat="1" ht="16.5" customHeight="1" x14ac:dyDescent="0.2"/>
    <row r="726" s="947" customFormat="1" ht="16.5" customHeight="1" x14ac:dyDescent="0.2"/>
    <row r="727" s="947" customFormat="1" ht="16.5" customHeight="1" x14ac:dyDescent="0.2"/>
    <row r="728" s="947" customFormat="1" ht="16.5" customHeight="1" x14ac:dyDescent="0.2"/>
    <row r="729" s="947" customFormat="1" ht="16.5" customHeight="1" x14ac:dyDescent="0.2"/>
    <row r="730" s="947" customFormat="1" ht="16.5" customHeight="1" x14ac:dyDescent="0.2"/>
    <row r="731" s="947" customFormat="1" ht="16.5" customHeight="1" x14ac:dyDescent="0.2"/>
    <row r="732" s="947" customFormat="1" ht="16.5" customHeight="1" x14ac:dyDescent="0.2"/>
    <row r="733" s="947" customFormat="1" ht="16.5" customHeight="1" x14ac:dyDescent="0.2"/>
    <row r="734" s="947" customFormat="1" ht="16.5" customHeight="1" x14ac:dyDescent="0.2"/>
    <row r="735" s="947" customFormat="1" ht="16.5" customHeight="1" x14ac:dyDescent="0.2"/>
    <row r="736" s="947" customFormat="1" ht="16.5" customHeight="1" x14ac:dyDescent="0.2"/>
    <row r="737" s="947" customFormat="1" ht="16.5" customHeight="1" x14ac:dyDescent="0.2"/>
    <row r="738" s="947" customFormat="1" ht="16.5" customHeight="1" x14ac:dyDescent="0.2"/>
    <row r="739" s="947" customFormat="1" ht="16.5" customHeight="1" x14ac:dyDescent="0.2"/>
    <row r="740" s="947" customFormat="1" ht="16.5" customHeight="1" x14ac:dyDescent="0.2"/>
    <row r="741" s="947" customFormat="1" ht="16.5" customHeight="1" x14ac:dyDescent="0.2"/>
    <row r="742" s="947" customFormat="1" ht="16.5" customHeight="1" x14ac:dyDescent="0.2"/>
    <row r="743" s="947" customFormat="1" ht="16.5" customHeight="1" x14ac:dyDescent="0.2"/>
    <row r="744" s="947" customFormat="1" ht="16.5" customHeight="1" x14ac:dyDescent="0.2"/>
    <row r="745" s="947" customFormat="1" ht="16.5" customHeight="1" x14ac:dyDescent="0.2"/>
    <row r="746" s="947" customFormat="1" ht="16.5" customHeight="1" x14ac:dyDescent="0.2"/>
    <row r="747" s="947" customFormat="1" ht="16.5" customHeight="1" x14ac:dyDescent="0.2"/>
    <row r="748" s="947" customFormat="1" ht="16.5" customHeight="1" x14ac:dyDescent="0.2"/>
    <row r="749" s="947" customFormat="1" ht="16.5" customHeight="1" x14ac:dyDescent="0.2"/>
    <row r="750" s="947" customFormat="1" ht="16.5" customHeight="1" x14ac:dyDescent="0.2"/>
    <row r="751" s="947" customFormat="1" ht="16.5" customHeight="1" x14ac:dyDescent="0.2"/>
    <row r="752" s="947" customFormat="1" ht="16.5" customHeight="1" x14ac:dyDescent="0.2"/>
    <row r="753" s="947" customFormat="1" ht="16.5" customHeight="1" x14ac:dyDescent="0.2"/>
    <row r="754" s="947" customFormat="1" ht="16.5" customHeight="1" x14ac:dyDescent="0.2"/>
    <row r="755" s="947" customFormat="1" ht="16.5" customHeight="1" x14ac:dyDescent="0.2"/>
    <row r="756" s="947" customFormat="1" ht="16.5" customHeight="1" x14ac:dyDescent="0.2"/>
    <row r="757" s="947" customFormat="1" ht="16.5" customHeight="1" x14ac:dyDescent="0.2"/>
    <row r="758" s="947" customFormat="1" ht="16.5" customHeight="1" x14ac:dyDescent="0.2"/>
    <row r="759" s="947" customFormat="1" ht="16.5" customHeight="1" x14ac:dyDescent="0.2"/>
    <row r="760" s="947" customFormat="1" ht="16.5" customHeight="1" x14ac:dyDescent="0.2"/>
    <row r="761" s="947" customFormat="1" ht="16.5" customHeight="1" x14ac:dyDescent="0.2"/>
    <row r="762" s="947" customFormat="1" ht="16.5" customHeight="1" x14ac:dyDescent="0.2"/>
    <row r="763" s="947" customFormat="1" ht="16.5" customHeight="1" x14ac:dyDescent="0.2"/>
    <row r="764" s="947" customFormat="1" ht="16.5" customHeight="1" x14ac:dyDescent="0.2"/>
    <row r="765" s="947" customFormat="1" ht="16.5" customHeight="1" x14ac:dyDescent="0.2"/>
    <row r="766" s="947" customFormat="1" ht="16.5" customHeight="1" x14ac:dyDescent="0.2"/>
    <row r="767" s="947" customFormat="1" ht="16.5" customHeight="1" x14ac:dyDescent="0.2"/>
    <row r="768" s="947" customFormat="1" ht="16.5" customHeight="1" x14ac:dyDescent="0.2"/>
    <row r="769" s="947" customFormat="1" ht="16.5" customHeight="1" x14ac:dyDescent="0.2"/>
    <row r="770" s="947" customFormat="1" ht="16.5" customHeight="1" x14ac:dyDescent="0.2"/>
    <row r="771" s="947" customFormat="1" ht="16.5" customHeight="1" x14ac:dyDescent="0.2"/>
    <row r="772" s="947" customFormat="1" ht="16.5" customHeight="1" x14ac:dyDescent="0.2"/>
    <row r="773" s="947" customFormat="1" ht="16.5" customHeight="1" x14ac:dyDescent="0.2"/>
    <row r="774" s="947" customFormat="1" ht="16.5" customHeight="1" x14ac:dyDescent="0.2"/>
    <row r="775" s="947" customFormat="1" ht="16.5" customHeight="1" x14ac:dyDescent="0.2"/>
    <row r="776" s="947" customFormat="1" ht="16.5" customHeight="1" x14ac:dyDescent="0.2"/>
    <row r="777" s="947" customFormat="1" ht="16.5" customHeight="1" x14ac:dyDescent="0.2"/>
    <row r="778" s="947" customFormat="1" ht="16.5" customHeight="1" x14ac:dyDescent="0.2"/>
    <row r="779" s="947" customFormat="1" ht="16.5" customHeight="1" x14ac:dyDescent="0.2"/>
    <row r="780" s="947" customFormat="1" ht="16.5" customHeight="1" x14ac:dyDescent="0.2"/>
    <row r="781" s="947" customFormat="1" ht="16.5" customHeight="1" x14ac:dyDescent="0.2"/>
    <row r="782" s="947" customFormat="1" ht="16.5" customHeight="1" x14ac:dyDescent="0.2"/>
    <row r="783" s="947" customFormat="1" ht="16.5" customHeight="1" x14ac:dyDescent="0.2"/>
    <row r="784" s="947" customFormat="1" ht="16.5" customHeight="1" x14ac:dyDescent="0.2"/>
    <row r="785" s="947" customFormat="1" ht="16.5" customHeight="1" x14ac:dyDescent="0.2"/>
    <row r="786" s="947" customFormat="1" ht="16.5" customHeight="1" x14ac:dyDescent="0.2"/>
    <row r="787" s="947" customFormat="1" ht="16.5" customHeight="1" x14ac:dyDescent="0.2"/>
    <row r="788" s="947" customFormat="1" ht="16.5" customHeight="1" x14ac:dyDescent="0.2"/>
    <row r="789" s="947" customFormat="1" ht="16.5" customHeight="1" x14ac:dyDescent="0.2"/>
    <row r="790" s="947" customFormat="1" ht="16.5" customHeight="1" x14ac:dyDescent="0.2"/>
    <row r="791" s="947" customFormat="1" ht="16.5" customHeight="1" x14ac:dyDescent="0.2"/>
    <row r="792" s="947" customFormat="1" ht="16.5" customHeight="1" x14ac:dyDescent="0.2"/>
    <row r="793" s="947" customFormat="1" ht="16.5" customHeight="1" x14ac:dyDescent="0.2"/>
    <row r="794" s="947" customFormat="1" ht="16.5" customHeight="1" x14ac:dyDescent="0.2"/>
    <row r="795" s="947" customFormat="1" ht="16.5" customHeight="1" x14ac:dyDescent="0.2"/>
    <row r="796" s="947" customFormat="1" ht="16.5" customHeight="1" x14ac:dyDescent="0.2"/>
    <row r="797" s="947" customFormat="1" ht="16.5" customHeight="1" x14ac:dyDescent="0.2"/>
    <row r="798" s="947" customFormat="1" ht="16.5" customHeight="1" x14ac:dyDescent="0.2"/>
    <row r="799" s="947" customFormat="1" ht="16.5" customHeight="1" x14ac:dyDescent="0.2"/>
    <row r="800" s="947" customFormat="1" ht="16.5" customHeight="1" x14ac:dyDescent="0.2"/>
    <row r="801" s="947" customFormat="1" ht="16.5" customHeight="1" x14ac:dyDescent="0.2"/>
    <row r="802" s="947" customFormat="1" ht="16.5" customHeight="1" x14ac:dyDescent="0.2"/>
    <row r="803" s="947" customFormat="1" ht="16.5" customHeight="1" x14ac:dyDescent="0.2"/>
    <row r="804" s="947" customFormat="1" ht="16.5" customHeight="1" x14ac:dyDescent="0.2"/>
    <row r="805" s="947" customFormat="1" ht="16.5" customHeight="1" x14ac:dyDescent="0.2"/>
    <row r="806" s="947" customFormat="1" ht="16.5" customHeight="1" x14ac:dyDescent="0.2"/>
    <row r="807" s="947" customFormat="1" ht="16.5" customHeight="1" x14ac:dyDescent="0.2"/>
    <row r="808" s="947" customFormat="1" ht="16.5" customHeight="1" x14ac:dyDescent="0.2"/>
    <row r="809" s="947" customFormat="1" ht="16.5" customHeight="1" x14ac:dyDescent="0.2"/>
    <row r="810" s="947" customFormat="1" ht="16.5" customHeight="1" x14ac:dyDescent="0.2"/>
    <row r="811" s="947" customFormat="1" ht="16.5" customHeight="1" x14ac:dyDescent="0.2"/>
    <row r="812" s="947" customFormat="1" ht="16.5" customHeight="1" x14ac:dyDescent="0.2"/>
    <row r="813" s="947" customFormat="1" ht="16.5" customHeight="1" x14ac:dyDescent="0.2"/>
    <row r="814" s="947" customFormat="1" ht="16.5" customHeight="1" x14ac:dyDescent="0.2"/>
    <row r="815" s="947" customFormat="1" ht="16.5" customHeight="1" x14ac:dyDescent="0.2"/>
    <row r="816" s="947" customFormat="1" ht="16.5" customHeight="1" x14ac:dyDescent="0.2"/>
    <row r="817" s="947" customFormat="1" ht="16.5" customHeight="1" x14ac:dyDescent="0.2"/>
    <row r="818" s="947" customFormat="1" ht="16.5" customHeight="1" x14ac:dyDescent="0.2"/>
    <row r="819" s="947" customFormat="1" ht="16.5" customHeight="1" x14ac:dyDescent="0.2"/>
    <row r="820" s="947" customFormat="1" ht="16.5" customHeight="1" x14ac:dyDescent="0.2"/>
    <row r="821" s="947" customFormat="1" ht="16.5" customHeight="1" x14ac:dyDescent="0.2"/>
    <row r="822" s="947" customFormat="1" ht="16.5" customHeight="1" x14ac:dyDescent="0.2"/>
    <row r="823" s="947" customFormat="1" ht="16.5" customHeight="1" x14ac:dyDescent="0.2"/>
    <row r="824" s="947" customFormat="1" ht="16.5" customHeight="1" x14ac:dyDescent="0.2"/>
    <row r="825" s="947" customFormat="1" ht="16.5" customHeight="1" x14ac:dyDescent="0.2"/>
    <row r="826" s="947" customFormat="1" ht="16.5" customHeight="1" x14ac:dyDescent="0.2"/>
    <row r="827" s="947" customFormat="1" ht="16.5" customHeight="1" x14ac:dyDescent="0.2"/>
    <row r="828" s="947" customFormat="1" ht="16.5" customHeight="1" x14ac:dyDescent="0.2"/>
    <row r="829" s="947" customFormat="1" ht="16.5" customHeight="1" x14ac:dyDescent="0.2"/>
    <row r="830" s="947" customFormat="1" ht="16.5" customHeight="1" x14ac:dyDescent="0.2"/>
    <row r="831" s="947" customFormat="1" ht="16.5" customHeight="1" x14ac:dyDescent="0.2"/>
    <row r="832" s="947" customFormat="1" ht="16.5" customHeight="1" x14ac:dyDescent="0.2"/>
    <row r="833" s="947" customFormat="1" ht="16.5" customHeight="1" x14ac:dyDescent="0.2"/>
    <row r="834" s="947" customFormat="1" ht="16.5" customHeight="1" x14ac:dyDescent="0.2"/>
    <row r="835" s="947" customFormat="1" ht="16.5" customHeight="1" x14ac:dyDescent="0.2"/>
    <row r="836" s="947" customFormat="1" ht="16.5" customHeight="1" x14ac:dyDescent="0.2"/>
    <row r="837" s="947" customFormat="1" ht="16.5" customHeight="1" x14ac:dyDescent="0.2"/>
    <row r="838" s="947" customFormat="1" ht="16.5" customHeight="1" x14ac:dyDescent="0.2"/>
    <row r="839" s="947" customFormat="1" ht="16.5" customHeight="1" x14ac:dyDescent="0.2"/>
    <row r="840" s="947" customFormat="1" ht="16.5" customHeight="1" x14ac:dyDescent="0.2"/>
    <row r="841" s="947" customFormat="1" ht="16.5" customHeight="1" x14ac:dyDescent="0.2"/>
    <row r="842" s="947" customFormat="1" ht="16.5" customHeight="1" x14ac:dyDescent="0.2"/>
    <row r="843" s="947" customFormat="1" ht="16.5" customHeight="1" x14ac:dyDescent="0.2"/>
    <row r="844" s="947" customFormat="1" ht="16.5" customHeight="1" x14ac:dyDescent="0.2"/>
    <row r="845" s="947" customFormat="1" ht="16.5" customHeight="1" x14ac:dyDescent="0.2"/>
    <row r="846" s="947" customFormat="1" ht="16.5" customHeight="1" x14ac:dyDescent="0.2"/>
    <row r="847" s="947" customFormat="1" ht="16.5" customHeight="1" x14ac:dyDescent="0.2"/>
    <row r="848" s="947" customFormat="1" ht="16.5" customHeight="1" x14ac:dyDescent="0.2"/>
    <row r="849" s="947" customFormat="1" ht="16.5" customHeight="1" x14ac:dyDescent="0.2"/>
    <row r="850" s="947" customFormat="1" ht="16.5" customHeight="1" x14ac:dyDescent="0.2"/>
    <row r="851" s="947" customFormat="1" ht="16.5" customHeight="1" x14ac:dyDescent="0.2"/>
    <row r="852" s="947" customFormat="1" ht="16.5" customHeight="1" x14ac:dyDescent="0.2"/>
    <row r="853" s="947" customFormat="1" ht="16.5" customHeight="1" x14ac:dyDescent="0.2"/>
    <row r="854" s="947" customFormat="1" ht="16.5" customHeight="1" x14ac:dyDescent="0.2"/>
    <row r="855" s="947" customFormat="1" ht="16.5" customHeight="1" x14ac:dyDescent="0.2"/>
    <row r="856" s="947" customFormat="1" ht="16.5" customHeight="1" x14ac:dyDescent="0.2"/>
    <row r="857" s="947" customFormat="1" ht="16.5" customHeight="1" x14ac:dyDescent="0.2"/>
    <row r="858" s="947" customFormat="1" ht="16.5" customHeight="1" x14ac:dyDescent="0.2"/>
    <row r="859" s="947" customFormat="1" ht="16.5" customHeight="1" x14ac:dyDescent="0.2"/>
    <row r="860" s="947" customFormat="1" ht="16.5" customHeight="1" x14ac:dyDescent="0.2"/>
    <row r="861" s="947" customFormat="1" ht="16.5" customHeight="1" x14ac:dyDescent="0.2"/>
    <row r="862" s="947" customFormat="1" ht="16.5" customHeight="1" x14ac:dyDescent="0.2"/>
    <row r="863" s="947" customFormat="1" ht="16.5" customHeight="1" x14ac:dyDescent="0.2"/>
    <row r="864" s="947" customFormat="1" ht="16.5" customHeight="1" x14ac:dyDescent="0.2"/>
    <row r="865" s="947" customFormat="1" ht="16.5" customHeight="1" x14ac:dyDescent="0.2"/>
    <row r="866" s="947" customFormat="1" ht="16.5" customHeight="1" x14ac:dyDescent="0.2"/>
    <row r="867" s="947" customFormat="1" ht="16.5" customHeight="1" x14ac:dyDescent="0.2"/>
    <row r="868" s="947" customFormat="1" ht="16.5" customHeight="1" x14ac:dyDescent="0.2"/>
    <row r="869" s="947" customFormat="1" ht="16.5" customHeight="1" x14ac:dyDescent="0.2"/>
    <row r="870" s="947" customFormat="1" ht="16.5" customHeight="1" x14ac:dyDescent="0.2"/>
    <row r="871" s="947" customFormat="1" ht="16.5" customHeight="1" x14ac:dyDescent="0.2"/>
    <row r="872" s="947" customFormat="1" ht="16.5" customHeight="1" x14ac:dyDescent="0.2"/>
    <row r="873" s="947" customFormat="1" ht="16.5" customHeight="1" x14ac:dyDescent="0.2"/>
    <row r="874" s="947" customFormat="1" ht="16.5" customHeight="1" x14ac:dyDescent="0.2"/>
    <row r="875" s="947" customFormat="1" ht="16.5" customHeight="1" x14ac:dyDescent="0.2"/>
    <row r="876" s="947" customFormat="1" ht="16.5" customHeight="1" x14ac:dyDescent="0.2"/>
    <row r="877" s="947" customFormat="1" ht="16.5" customHeight="1" x14ac:dyDescent="0.2"/>
    <row r="878" s="947" customFormat="1" ht="16.5" customHeight="1" x14ac:dyDescent="0.2"/>
    <row r="879" s="947" customFormat="1" ht="16.5" customHeight="1" x14ac:dyDescent="0.2"/>
    <row r="880" s="947" customFormat="1" ht="16.5" customHeight="1" x14ac:dyDescent="0.2"/>
    <row r="881" s="947" customFormat="1" ht="16.5" customHeight="1" x14ac:dyDescent="0.2"/>
    <row r="882" s="947" customFormat="1" ht="16.5" customHeight="1" x14ac:dyDescent="0.2"/>
    <row r="883" s="947" customFormat="1" ht="16.5" customHeight="1" x14ac:dyDescent="0.2"/>
    <row r="884" s="947" customFormat="1" ht="16.5" customHeight="1" x14ac:dyDescent="0.2"/>
    <row r="885" s="947" customFormat="1" ht="16.5" customHeight="1" x14ac:dyDescent="0.2"/>
    <row r="886" s="947" customFormat="1" ht="16.5" customHeight="1" x14ac:dyDescent="0.2"/>
    <row r="887" s="947" customFormat="1" ht="16.5" customHeight="1" x14ac:dyDescent="0.2"/>
    <row r="888" s="947" customFormat="1" ht="16.5" customHeight="1" x14ac:dyDescent="0.2"/>
    <row r="889" s="947" customFormat="1" ht="16.5" customHeight="1" x14ac:dyDescent="0.2"/>
    <row r="890" s="947" customFormat="1" ht="16.5" customHeight="1" x14ac:dyDescent="0.2"/>
    <row r="891" s="947" customFormat="1" ht="16.5" customHeight="1" x14ac:dyDescent="0.2"/>
    <row r="892" s="947" customFormat="1" ht="16.5" customHeight="1" x14ac:dyDescent="0.2"/>
    <row r="893" s="947" customFormat="1" ht="16.5" customHeight="1" x14ac:dyDescent="0.2"/>
    <row r="894" s="947" customFormat="1" ht="16.5" customHeight="1" x14ac:dyDescent="0.2"/>
    <row r="895" s="947" customFormat="1" ht="16.5" customHeight="1" x14ac:dyDescent="0.2"/>
    <row r="896" s="947" customFormat="1" ht="16.5" customHeight="1" x14ac:dyDescent="0.2"/>
    <row r="897" s="947" customFormat="1" ht="16.5" customHeight="1" x14ac:dyDescent="0.2"/>
    <row r="898" s="947" customFormat="1" ht="16.5" customHeight="1" x14ac:dyDescent="0.2"/>
    <row r="899" s="947" customFormat="1" ht="16.5" customHeight="1" x14ac:dyDescent="0.2"/>
    <row r="900" s="947" customFormat="1" ht="16.5" customHeight="1" x14ac:dyDescent="0.2"/>
    <row r="901" s="947" customFormat="1" ht="16.5" customHeight="1" x14ac:dyDescent="0.2"/>
    <row r="902" s="947" customFormat="1" ht="16.5" customHeight="1" x14ac:dyDescent="0.2"/>
    <row r="903" s="947" customFormat="1" ht="16.5" customHeight="1" x14ac:dyDescent="0.2"/>
    <row r="904" s="947" customFormat="1" ht="16.5" customHeight="1" x14ac:dyDescent="0.2"/>
    <row r="905" s="947" customFormat="1" ht="16.5" customHeight="1" x14ac:dyDescent="0.2"/>
    <row r="906" s="947" customFormat="1" ht="16.5" customHeight="1" x14ac:dyDescent="0.2"/>
    <row r="907" s="947" customFormat="1" ht="16.5" customHeight="1" x14ac:dyDescent="0.2"/>
    <row r="908" s="947" customFormat="1" ht="16.5" customHeight="1" x14ac:dyDescent="0.2"/>
    <row r="909" s="947" customFormat="1" ht="16.5" customHeight="1" x14ac:dyDescent="0.2"/>
    <row r="910" s="947" customFormat="1" ht="16.5" customHeight="1" x14ac:dyDescent="0.2"/>
    <row r="911" s="947" customFormat="1" ht="16.5" customHeight="1" x14ac:dyDescent="0.2"/>
    <row r="912" s="947" customFormat="1" ht="16.5" customHeight="1" x14ac:dyDescent="0.2"/>
    <row r="913" s="947" customFormat="1" ht="16.5" customHeight="1" x14ac:dyDescent="0.2"/>
    <row r="914" s="947" customFormat="1" ht="16.5" customHeight="1" x14ac:dyDescent="0.2"/>
    <row r="915" s="947" customFormat="1" ht="16.5" customHeight="1" x14ac:dyDescent="0.2"/>
    <row r="916" s="947" customFormat="1" ht="16.5" customHeight="1" x14ac:dyDescent="0.2"/>
    <row r="917" s="947" customFormat="1" ht="16.5" customHeight="1" x14ac:dyDescent="0.2"/>
    <row r="918" s="947" customFormat="1" ht="16.5" customHeight="1" x14ac:dyDescent="0.2"/>
    <row r="919" s="947" customFormat="1" ht="16.5" customHeight="1" x14ac:dyDescent="0.2"/>
    <row r="920" s="947" customFormat="1" ht="16.5" customHeight="1" x14ac:dyDescent="0.2"/>
    <row r="921" s="947" customFormat="1" ht="16.5" customHeight="1" x14ac:dyDescent="0.2"/>
    <row r="922" s="947" customFormat="1" ht="16.5" customHeight="1" x14ac:dyDescent="0.2"/>
    <row r="923" s="947" customFormat="1" ht="16.5" customHeight="1" x14ac:dyDescent="0.2"/>
    <row r="924" s="947" customFormat="1" ht="16.5" customHeight="1" x14ac:dyDescent="0.2"/>
    <row r="925" s="947" customFormat="1" ht="16.5" customHeight="1" x14ac:dyDescent="0.2"/>
    <row r="926" s="947" customFormat="1" ht="16.5" customHeight="1" x14ac:dyDescent="0.2"/>
    <row r="927" s="947" customFormat="1" ht="16.5" customHeight="1" x14ac:dyDescent="0.2"/>
    <row r="928" s="947" customFormat="1" ht="16.5" customHeight="1" x14ac:dyDescent="0.2"/>
    <row r="929" s="947" customFormat="1" ht="16.5" customHeight="1" x14ac:dyDescent="0.2"/>
    <row r="930" s="947" customFormat="1" ht="16.5" customHeight="1" x14ac:dyDescent="0.2"/>
    <row r="931" s="947" customFormat="1" ht="16.5" customHeight="1" x14ac:dyDescent="0.2"/>
    <row r="932" s="947" customFormat="1" ht="16.5" customHeight="1" x14ac:dyDescent="0.2"/>
    <row r="933" s="947" customFormat="1" ht="16.5" customHeight="1" x14ac:dyDescent="0.2"/>
    <row r="934" s="947" customFormat="1" ht="16.5" customHeight="1" x14ac:dyDescent="0.2"/>
    <row r="935" s="947" customFormat="1" ht="16.5" customHeight="1" x14ac:dyDescent="0.2"/>
    <row r="936" s="947" customFormat="1" ht="16.5" customHeight="1" x14ac:dyDescent="0.2"/>
    <row r="937" s="947" customFormat="1" ht="16.5" customHeight="1" x14ac:dyDescent="0.2"/>
    <row r="938" s="947" customFormat="1" ht="16.5" customHeight="1" x14ac:dyDescent="0.2"/>
    <row r="939" s="947" customFormat="1" ht="16.5" customHeight="1" x14ac:dyDescent="0.2"/>
    <row r="940" s="947" customFormat="1" ht="16.5" customHeight="1" x14ac:dyDescent="0.2"/>
    <row r="941" s="947" customFormat="1" ht="16.5" customHeight="1" x14ac:dyDescent="0.2"/>
    <row r="942" s="947" customFormat="1" ht="16.5" customHeight="1" x14ac:dyDescent="0.2"/>
    <row r="943" s="947" customFormat="1" ht="16.5" customHeight="1" x14ac:dyDescent="0.2"/>
    <row r="944" s="947" customFormat="1" ht="16.5" customHeight="1" x14ac:dyDescent="0.2"/>
    <row r="945" s="947" customFormat="1" ht="16.5" customHeight="1" x14ac:dyDescent="0.2"/>
    <row r="946" s="947" customFormat="1" ht="16.5" customHeight="1" x14ac:dyDescent="0.2"/>
    <row r="947" s="947" customFormat="1" ht="16.5" customHeight="1" x14ac:dyDescent="0.2"/>
    <row r="948" s="947" customFormat="1" ht="16.5" customHeight="1" x14ac:dyDescent="0.2"/>
    <row r="949" s="947" customFormat="1" ht="16.5" customHeight="1" x14ac:dyDescent="0.2"/>
    <row r="950" s="947" customFormat="1" ht="16.5" customHeight="1" x14ac:dyDescent="0.2"/>
    <row r="951" s="947" customFormat="1" ht="16.5" customHeight="1" x14ac:dyDescent="0.2"/>
    <row r="952" s="947" customFormat="1" ht="16.5" customHeight="1" x14ac:dyDescent="0.2"/>
    <row r="953" s="947" customFormat="1" ht="16.5" customHeight="1" x14ac:dyDescent="0.2"/>
    <row r="954" s="947" customFormat="1" ht="16.5" customHeight="1" x14ac:dyDescent="0.2"/>
    <row r="955" s="947" customFormat="1" ht="16.5" customHeight="1" x14ac:dyDescent="0.2"/>
    <row r="956" s="947" customFormat="1" ht="16.5" customHeight="1" x14ac:dyDescent="0.2"/>
    <row r="957" s="947" customFormat="1" ht="16.5" customHeight="1" x14ac:dyDescent="0.2"/>
    <row r="958" s="947" customFormat="1" ht="16.5" customHeight="1" x14ac:dyDescent="0.2"/>
    <row r="959" s="947" customFormat="1" ht="16.5" customHeight="1" x14ac:dyDescent="0.2"/>
    <row r="960" s="947" customFormat="1" ht="16.5" customHeight="1" x14ac:dyDescent="0.2"/>
    <row r="961" s="947" customFormat="1" ht="16.5" customHeight="1" x14ac:dyDescent="0.2"/>
    <row r="962" s="947" customFormat="1" ht="16.5" customHeight="1" x14ac:dyDescent="0.2"/>
    <row r="963" s="947" customFormat="1" ht="16.5" customHeight="1" x14ac:dyDescent="0.2"/>
    <row r="964" s="947" customFormat="1" ht="16.5" customHeight="1" x14ac:dyDescent="0.2"/>
    <row r="965" s="947" customFormat="1" ht="16.5" customHeight="1" x14ac:dyDescent="0.2"/>
    <row r="966" s="947" customFormat="1" ht="16.5" customHeight="1" x14ac:dyDescent="0.2"/>
    <row r="967" s="947" customFormat="1" ht="16.5" customHeight="1" x14ac:dyDescent="0.2"/>
    <row r="968" s="947" customFormat="1" ht="16.5" customHeight="1" x14ac:dyDescent="0.2"/>
    <row r="969" s="947" customFormat="1" ht="16.5" customHeight="1" x14ac:dyDescent="0.2"/>
    <row r="970" s="947" customFormat="1" ht="16.5" customHeight="1" x14ac:dyDescent="0.2"/>
    <row r="971" s="947" customFormat="1" ht="16.5" customHeight="1" x14ac:dyDescent="0.2"/>
    <row r="972" s="947" customFormat="1" ht="16.5" customHeight="1" x14ac:dyDescent="0.2"/>
    <row r="973" s="947" customFormat="1" ht="16.5" customHeight="1" x14ac:dyDescent="0.2"/>
    <row r="974" s="947" customFormat="1" ht="16.5" customHeight="1" x14ac:dyDescent="0.2"/>
    <row r="975" s="947" customFormat="1" ht="16.5" customHeight="1" x14ac:dyDescent="0.2"/>
    <row r="976" s="947" customFormat="1" ht="16.5" customHeight="1" x14ac:dyDescent="0.2"/>
    <row r="977" s="947" customFormat="1" ht="16.5" customHeight="1" x14ac:dyDescent="0.2"/>
    <row r="978" s="947" customFormat="1" ht="16.5" customHeight="1" x14ac:dyDescent="0.2"/>
    <row r="979" s="947" customFormat="1" ht="16.5" customHeight="1" x14ac:dyDescent="0.2"/>
    <row r="980" s="947" customFormat="1" ht="16.5" customHeight="1" x14ac:dyDescent="0.2"/>
    <row r="981" s="947" customFormat="1" ht="16.5" customHeight="1" x14ac:dyDescent="0.2"/>
    <row r="982" s="947" customFormat="1" ht="16.5" customHeight="1" x14ac:dyDescent="0.2"/>
    <row r="983" s="947" customFormat="1" ht="16.5" customHeight="1" x14ac:dyDescent="0.2"/>
    <row r="984" s="947" customFormat="1" ht="16.5" customHeight="1" x14ac:dyDescent="0.2"/>
    <row r="985" s="947" customFormat="1" ht="16.5" customHeight="1" x14ac:dyDescent="0.2"/>
    <row r="986" s="947" customFormat="1" ht="16.5" customHeight="1" x14ac:dyDescent="0.2"/>
    <row r="987" s="947" customFormat="1" ht="16.5" customHeight="1" x14ac:dyDescent="0.2"/>
    <row r="988" s="947" customFormat="1" ht="16.5" customHeight="1" x14ac:dyDescent="0.2"/>
    <row r="989" s="947" customFormat="1" ht="16.5" customHeight="1" x14ac:dyDescent="0.2"/>
    <row r="990" s="947" customFormat="1" ht="16.5" customHeight="1" x14ac:dyDescent="0.2"/>
    <row r="991" s="947" customFormat="1" ht="16.5" customHeight="1" x14ac:dyDescent="0.2"/>
    <row r="992" s="947" customFormat="1" ht="16.5" customHeight="1" x14ac:dyDescent="0.2"/>
    <row r="993" s="947" customFormat="1" ht="16.5" customHeight="1" x14ac:dyDescent="0.2"/>
    <row r="994" s="947" customFormat="1" ht="16.5" customHeight="1" x14ac:dyDescent="0.2"/>
    <row r="995" s="947" customFormat="1" ht="16.5" customHeight="1" x14ac:dyDescent="0.2"/>
    <row r="996" s="947" customFormat="1" ht="16.5" customHeight="1" x14ac:dyDescent="0.2"/>
    <row r="997" s="947" customFormat="1" ht="16.5" customHeight="1" x14ac:dyDescent="0.2"/>
    <row r="998" s="947" customFormat="1" ht="16.5" customHeight="1" x14ac:dyDescent="0.2"/>
    <row r="999" s="947" customFormat="1" ht="16.5" customHeight="1" x14ac:dyDescent="0.2"/>
    <row r="1000" s="947" customFormat="1" ht="16.5" customHeight="1" x14ac:dyDescent="0.2"/>
  </sheetData>
  <phoneticPr fontId="137" type="noConversion"/>
  <pageMargins left="0.7" right="0.7" top="0.75" bottom="0.75" header="0.3" footer="0.3"/>
  <legacyDrawing r:id="rId1"/>
  <extLst>
    <ext xmlns:mx="http://schemas.microsoft.com/office/mac/excel/2008/main" uri="http://schemas.microsoft.com/office/mac/excel/2008/main">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0080"/>
  </sheetPr>
  <dimension ref="A1:BN105"/>
  <sheetViews>
    <sheetView topLeftCell="A7" workbookViewId="0">
      <selection activeCell="J27" sqref="J27"/>
    </sheetView>
  </sheetViews>
  <sheetFormatPr defaultColWidth="8.5703125" defaultRowHeight="16.5" customHeight="1" x14ac:dyDescent="0.2"/>
  <cols>
    <col min="1" max="1" width="55.5703125" style="947" customWidth="1"/>
    <col min="2" max="16384" width="8.5703125" style="947"/>
  </cols>
  <sheetData>
    <row r="1" spans="1:66" s="857" customFormat="1" ht="16.5" customHeight="1" x14ac:dyDescent="0.2">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66" s="857" customFormat="1" ht="16.5" customHeight="1" x14ac:dyDescent="0.2">
      <c r="G2" s="1169"/>
      <c r="H2" s="1169"/>
      <c r="I2" s="1169"/>
      <c r="J2" s="1169"/>
      <c r="K2" s="1169"/>
      <c r="L2" s="1169"/>
      <c r="M2" s="1169"/>
      <c r="N2" s="1169"/>
      <c r="O2" s="1169"/>
      <c r="P2" s="1169"/>
      <c r="Q2" s="1169"/>
      <c r="R2" s="1169"/>
      <c r="S2" s="1169"/>
      <c r="T2" s="1169"/>
      <c r="U2" s="1169"/>
      <c r="V2" s="1169"/>
      <c r="W2" s="1169"/>
      <c r="X2" s="1169"/>
      <c r="Y2" s="1169"/>
      <c r="Z2" s="1169"/>
    </row>
    <row r="3" spans="1:66" s="857" customFormat="1" ht="16.5" customHeight="1" x14ac:dyDescent="0.2">
      <c r="G3" s="1169"/>
      <c r="H3" s="1169"/>
      <c r="I3" s="1169"/>
      <c r="J3" s="1169"/>
      <c r="K3" s="1169"/>
      <c r="L3" s="1169"/>
      <c r="M3" s="1169"/>
      <c r="N3" s="1169"/>
      <c r="O3" s="1169"/>
      <c r="P3" s="1169"/>
      <c r="Q3" s="1169"/>
      <c r="R3" s="1169"/>
      <c r="S3" s="1169"/>
      <c r="T3" s="1169"/>
      <c r="U3" s="1169"/>
      <c r="V3" s="1169"/>
      <c r="W3" s="1169"/>
      <c r="X3" s="1169"/>
      <c r="Y3" s="1169"/>
      <c r="Z3" s="1169"/>
    </row>
    <row r="4" spans="1:66" s="1008" customFormat="1" ht="16.5" customHeight="1" x14ac:dyDescent="0.2">
      <c r="G4" s="1169"/>
      <c r="H4" s="1169"/>
      <c r="I4" s="1169"/>
      <c r="J4" s="1169"/>
      <c r="K4" s="1169"/>
      <c r="L4" s="1169"/>
      <c r="M4" s="1169"/>
      <c r="N4" s="1169"/>
      <c r="O4" s="1169"/>
      <c r="P4" s="1169"/>
      <c r="Q4" s="1169"/>
      <c r="R4" s="1169"/>
      <c r="S4" s="1169"/>
      <c r="T4" s="1169"/>
      <c r="U4" s="1169"/>
      <c r="V4" s="1169"/>
      <c r="W4" s="1169"/>
      <c r="X4" s="1169"/>
      <c r="Y4" s="1169"/>
      <c r="Z4" s="1169"/>
    </row>
    <row r="5" spans="1:66" s="857" customFormat="1" ht="16.5" customHeight="1" x14ac:dyDescent="0.2">
      <c r="G5" s="1169"/>
      <c r="H5" s="1169"/>
      <c r="I5" s="1169"/>
      <c r="J5" s="1169"/>
      <c r="K5" s="1169"/>
      <c r="L5" s="1169"/>
      <c r="M5" s="1169"/>
      <c r="N5" s="1169"/>
      <c r="O5" s="1169"/>
      <c r="P5" s="1169"/>
      <c r="Q5" s="1169"/>
      <c r="R5" s="1169"/>
      <c r="S5" s="1169"/>
      <c r="T5" s="1169"/>
      <c r="U5" s="1169"/>
      <c r="V5" s="1169"/>
      <c r="W5" s="1169"/>
      <c r="X5" s="1169"/>
      <c r="Y5" s="1169"/>
      <c r="Z5" s="1169"/>
    </row>
    <row r="6" spans="1:66" s="857" customFormat="1" ht="16.5" customHeight="1" x14ac:dyDescent="0.2">
      <c r="G6" s="1169"/>
      <c r="H6" s="1169"/>
      <c r="I6" s="1169"/>
      <c r="J6" s="1169"/>
      <c r="K6" s="1169"/>
      <c r="L6" s="1169"/>
      <c r="M6" s="1169"/>
      <c r="N6" s="1169"/>
      <c r="O6" s="1169"/>
      <c r="P6" s="1169"/>
      <c r="Q6" s="1169"/>
      <c r="R6" s="1169"/>
      <c r="S6" s="1169"/>
      <c r="T6" s="1169"/>
      <c r="U6" s="1169"/>
      <c r="V6" s="1169"/>
      <c r="W6" s="1169"/>
      <c r="X6" s="1169"/>
      <c r="Y6" s="1169"/>
      <c r="Z6" s="1169"/>
    </row>
    <row r="7" spans="1:66" s="857" customFormat="1" ht="16.5" customHeight="1" x14ac:dyDescent="0.2">
      <c r="G7" s="1169"/>
      <c r="H7" s="1169"/>
      <c r="I7" s="1169"/>
      <c r="J7" s="1169"/>
      <c r="K7" s="1169"/>
      <c r="L7" s="1169"/>
      <c r="M7" s="1169"/>
      <c r="N7" s="1169"/>
      <c r="O7" s="1169"/>
      <c r="P7" s="1169"/>
      <c r="Q7" s="1169"/>
      <c r="R7" s="1169"/>
      <c r="S7" s="1169"/>
      <c r="T7" s="1169"/>
      <c r="U7" s="1169"/>
      <c r="V7" s="1169"/>
      <c r="W7" s="1169"/>
      <c r="X7" s="1169"/>
      <c r="Y7" s="1169"/>
      <c r="Z7" s="1169"/>
    </row>
    <row r="8" spans="1:66" s="710" customFormat="1" ht="16.5" customHeight="1" x14ac:dyDescent="0.2">
      <c r="A8" s="891" t="s">
        <v>879</v>
      </c>
    </row>
    <row r="9" spans="1:66" s="857" customFormat="1" ht="9" customHeight="1" x14ac:dyDescent="0.2">
      <c r="G9" s="1169"/>
      <c r="H9" s="1169"/>
      <c r="I9" s="1169"/>
      <c r="J9" s="1169"/>
      <c r="K9" s="1169"/>
      <c r="L9" s="1169"/>
      <c r="M9" s="1169"/>
      <c r="N9" s="1169"/>
      <c r="O9" s="1169"/>
      <c r="P9" s="1169"/>
      <c r="Q9" s="1169"/>
      <c r="R9" s="1169"/>
      <c r="S9" s="1169"/>
      <c r="T9" s="1169"/>
      <c r="U9" s="1169"/>
      <c r="V9" s="1169"/>
      <c r="W9" s="1169"/>
      <c r="X9" s="1169"/>
      <c r="Y9" s="1169"/>
      <c r="Z9" s="1169"/>
    </row>
    <row r="10" spans="1:66" s="857" customFormat="1" ht="16.5" customHeight="1" x14ac:dyDescent="0.2">
      <c r="A10" s="246" t="s">
        <v>241</v>
      </c>
      <c r="B10" s="50" t="s">
        <v>493</v>
      </c>
      <c r="C10" s="50"/>
      <c r="D10" s="50"/>
      <c r="E10" s="50"/>
      <c r="F10" s="50"/>
      <c r="G10" s="1169"/>
      <c r="H10" s="1169"/>
      <c r="I10" s="1169"/>
      <c r="J10" s="1169"/>
      <c r="K10" s="1169"/>
      <c r="L10" s="1169"/>
      <c r="M10" s="1169"/>
      <c r="N10" s="1169"/>
      <c r="O10" s="1169"/>
      <c r="P10" s="1169"/>
      <c r="Q10" s="1169"/>
      <c r="R10" s="1169"/>
      <c r="S10" s="1169"/>
      <c r="T10" s="1169"/>
      <c r="U10" s="1169"/>
      <c r="V10" s="1169"/>
      <c r="W10" s="1169"/>
      <c r="X10" s="1169"/>
      <c r="Y10" s="1169"/>
      <c r="Z10" s="1169"/>
    </row>
    <row r="11" spans="1:66" s="857" customFormat="1" ht="16.5" customHeight="1" x14ac:dyDescent="0.2">
      <c r="B11" s="644">
        <f>'BS Analysis Adjustments'!B1</f>
        <v>2011</v>
      </c>
      <c r="C11" s="644">
        <f>'BS Analysis Adjustments'!L1</f>
        <v>2012</v>
      </c>
      <c r="D11" s="644">
        <f>'BS Analysis Adjustments'!V1</f>
        <v>2013</v>
      </c>
      <c r="E11" s="644">
        <f>'BS Analysis Adjustments'!AF1</f>
        <v>2014</v>
      </c>
      <c r="F11" s="644">
        <f>'BS Analysis Adjustments'!AP1</f>
        <v>2015</v>
      </c>
      <c r="G11" s="1169"/>
      <c r="H11" s="1169"/>
      <c r="I11" s="1169"/>
      <c r="J11" s="1169"/>
      <c r="K11" s="1169"/>
      <c r="L11" s="1169"/>
      <c r="M11" s="1169"/>
      <c r="N11" s="1169"/>
      <c r="O11" s="1169"/>
      <c r="P11" s="1169"/>
      <c r="Q11" s="1169"/>
      <c r="R11" s="1169"/>
      <c r="S11" s="1169"/>
      <c r="T11" s="1169"/>
      <c r="U11" s="1169"/>
      <c r="V11" s="1169"/>
      <c r="W11" s="1169"/>
      <c r="X11" s="1169"/>
      <c r="Y11" s="1169"/>
      <c r="Z11" s="1169"/>
    </row>
    <row r="12" spans="1:66" s="920" customFormat="1" ht="16.5" customHeight="1" x14ac:dyDescent="0.2">
      <c r="A12" s="921" t="s">
        <v>416</v>
      </c>
      <c r="G12" s="1193"/>
      <c r="H12" s="1193"/>
      <c r="I12" s="1193"/>
      <c r="J12" s="1193"/>
      <c r="K12" s="1193"/>
      <c r="L12" s="1193"/>
      <c r="M12" s="1193"/>
      <c r="N12" s="1193"/>
      <c r="O12" s="1193"/>
      <c r="P12" s="1193"/>
      <c r="Q12" s="1193"/>
      <c r="R12" s="1193"/>
      <c r="S12" s="1193"/>
      <c r="T12" s="1193"/>
      <c r="U12" s="1193"/>
      <c r="V12" s="1193"/>
      <c r="W12" s="1193"/>
      <c r="X12" s="1193"/>
      <c r="Y12" s="1193"/>
      <c r="Z12" s="1193"/>
    </row>
    <row r="13" spans="1:66" s="92" customFormat="1" ht="16.5" customHeight="1" x14ac:dyDescent="0.2">
      <c r="A13" s="950" t="s">
        <v>880</v>
      </c>
      <c r="B13" s="904"/>
      <c r="C13" s="904"/>
      <c r="D13" s="904"/>
      <c r="E13" s="904"/>
      <c r="F13" s="904"/>
      <c r="G13" s="904"/>
      <c r="H13" s="904"/>
      <c r="I13" s="904"/>
      <c r="J13" s="904"/>
      <c r="K13" s="904"/>
      <c r="L13" s="904"/>
      <c r="M13" s="904"/>
      <c r="N13" s="904"/>
      <c r="O13" s="904"/>
      <c r="P13" s="904"/>
      <c r="Q13" s="904"/>
      <c r="R13" s="904"/>
      <c r="S13" s="904"/>
      <c r="T13" s="904"/>
      <c r="U13" s="904"/>
      <c r="V13" s="904"/>
      <c r="W13" s="904"/>
      <c r="X13" s="904"/>
      <c r="Y13" s="904"/>
      <c r="Z13" s="904"/>
      <c r="AA13" s="904"/>
      <c r="AB13" s="904"/>
      <c r="AC13" s="904"/>
      <c r="AD13" s="904"/>
      <c r="AE13" s="904"/>
      <c r="AF13" s="904"/>
      <c r="AG13" s="904"/>
      <c r="AH13" s="904"/>
      <c r="AI13" s="904"/>
      <c r="AJ13" s="904"/>
      <c r="AK13" s="904"/>
      <c r="AL13" s="904"/>
      <c r="AM13" s="904"/>
      <c r="AN13" s="904"/>
      <c r="AO13" s="904"/>
      <c r="AP13" s="904"/>
      <c r="AQ13" s="904"/>
      <c r="AR13" s="904"/>
      <c r="AS13" s="904"/>
      <c r="AT13" s="904"/>
      <c r="AU13" s="904"/>
      <c r="AV13" s="904"/>
      <c r="AW13" s="904"/>
      <c r="AX13" s="904"/>
      <c r="AY13" s="904"/>
      <c r="AZ13" s="904"/>
      <c r="BA13" s="904"/>
      <c r="BB13" s="904"/>
      <c r="BC13" s="904"/>
      <c r="BD13" s="904"/>
      <c r="BE13" s="904"/>
      <c r="BF13" s="904"/>
      <c r="BG13" s="904"/>
      <c r="BH13" s="904"/>
      <c r="BI13" s="904"/>
      <c r="BJ13" s="904"/>
      <c r="BK13" s="904"/>
      <c r="BL13" s="904"/>
      <c r="BM13" s="904"/>
      <c r="BN13" s="904"/>
    </row>
    <row r="14" spans="1:66" s="92" customFormat="1" ht="16.5" customHeight="1" x14ac:dyDescent="0.2">
      <c r="A14" s="950" t="s">
        <v>973</v>
      </c>
      <c r="B14" s="92">
        <f>'Common-size FS'!C135</f>
        <v>0</v>
      </c>
      <c r="C14" s="92">
        <f>'Common-size FS'!D135</f>
        <v>0</v>
      </c>
      <c r="D14" s="92">
        <f>'Common-size FS'!E135</f>
        <v>0</v>
      </c>
      <c r="E14" s="92">
        <f>'Common-size FS'!F135</f>
        <v>0</v>
      </c>
      <c r="F14" s="92">
        <f>'Common-size FS'!G135</f>
        <v>0</v>
      </c>
      <c r="G14" s="904"/>
      <c r="H14" s="904"/>
      <c r="I14" s="904"/>
      <c r="J14" s="904"/>
      <c r="K14" s="904"/>
      <c r="L14" s="904"/>
      <c r="M14" s="904"/>
      <c r="N14" s="904"/>
      <c r="O14" s="904"/>
      <c r="P14" s="904"/>
      <c r="Q14" s="904"/>
      <c r="R14" s="904"/>
      <c r="S14" s="904"/>
      <c r="T14" s="904"/>
      <c r="U14" s="904"/>
      <c r="V14" s="904"/>
      <c r="W14" s="904"/>
      <c r="X14" s="904"/>
      <c r="Y14" s="904"/>
      <c r="Z14" s="904"/>
      <c r="AA14" s="904"/>
      <c r="AB14" s="904"/>
      <c r="AC14" s="904"/>
      <c r="AD14" s="904"/>
      <c r="AE14" s="904"/>
      <c r="AF14" s="904"/>
      <c r="AG14" s="904"/>
      <c r="AH14" s="904"/>
      <c r="AI14" s="904"/>
      <c r="AJ14" s="904"/>
      <c r="AK14" s="904"/>
      <c r="AL14" s="904"/>
      <c r="AM14" s="904"/>
      <c r="AN14" s="904"/>
      <c r="AO14" s="904"/>
      <c r="AP14" s="904"/>
      <c r="AQ14" s="904"/>
      <c r="AR14" s="904"/>
      <c r="AS14" s="904"/>
      <c r="AT14" s="904"/>
      <c r="AU14" s="904"/>
      <c r="AV14" s="904"/>
      <c r="AW14" s="904"/>
      <c r="AX14" s="904"/>
      <c r="AY14" s="904"/>
      <c r="AZ14" s="904"/>
      <c r="BA14" s="904"/>
      <c r="BB14" s="904"/>
      <c r="BC14" s="904"/>
      <c r="BD14" s="904"/>
      <c r="BE14" s="904"/>
      <c r="BF14" s="904"/>
      <c r="BG14" s="904"/>
      <c r="BH14" s="904"/>
      <c r="BI14" s="904"/>
      <c r="BJ14" s="904"/>
      <c r="BK14" s="904"/>
      <c r="BL14" s="904"/>
      <c r="BM14" s="904"/>
      <c r="BN14" s="904"/>
    </row>
    <row r="15" spans="1:66" s="92" customFormat="1" ht="16.5" customHeight="1" x14ac:dyDescent="0.2">
      <c r="A15" s="950" t="s">
        <v>974</v>
      </c>
      <c r="B15" s="92">
        <f>'BS Analysis Adjustments'!B7</f>
        <v>0</v>
      </c>
      <c r="C15" s="92">
        <f>'BS Analysis Adjustments'!L7</f>
        <v>0</v>
      </c>
      <c r="D15" s="92">
        <f>'BS Analysis Adjustments'!V7</f>
        <v>0</v>
      </c>
      <c r="E15" s="92">
        <f>'BS Analysis Adjustments'!AF7</f>
        <v>0</v>
      </c>
      <c r="F15" s="92">
        <f>'BS Analysis Adjustments'!AP7</f>
        <v>0</v>
      </c>
      <c r="G15" s="904"/>
      <c r="H15" s="904"/>
      <c r="I15" s="904"/>
      <c r="J15" s="904"/>
      <c r="K15" s="904"/>
      <c r="L15" s="904"/>
      <c r="M15" s="904"/>
      <c r="N15" s="904"/>
      <c r="O15" s="904"/>
      <c r="P15" s="904"/>
      <c r="Q15" s="904"/>
      <c r="R15" s="904"/>
      <c r="S15" s="904"/>
      <c r="T15" s="904"/>
      <c r="U15" s="904"/>
      <c r="V15" s="904"/>
      <c r="W15" s="904"/>
      <c r="X15" s="904"/>
      <c r="Y15" s="904"/>
      <c r="Z15" s="904"/>
      <c r="AA15" s="904"/>
      <c r="AB15" s="904"/>
      <c r="AC15" s="904"/>
      <c r="AD15" s="904"/>
      <c r="AE15" s="904"/>
      <c r="AF15" s="904"/>
      <c r="AG15" s="904"/>
      <c r="AH15" s="904"/>
      <c r="AI15" s="904"/>
      <c r="AJ15" s="904"/>
      <c r="AK15" s="904"/>
      <c r="AL15" s="904"/>
      <c r="AM15" s="904"/>
      <c r="AN15" s="904"/>
      <c r="AO15" s="904"/>
      <c r="AP15" s="904"/>
      <c r="AQ15" s="904"/>
      <c r="AR15" s="904"/>
      <c r="AS15" s="904"/>
      <c r="AT15" s="904"/>
      <c r="AU15" s="904"/>
      <c r="AV15" s="904"/>
      <c r="AW15" s="904"/>
      <c r="AX15" s="904"/>
      <c r="AY15" s="904"/>
      <c r="AZ15" s="904"/>
      <c r="BA15" s="904"/>
      <c r="BB15" s="904"/>
      <c r="BC15" s="904"/>
      <c r="BD15" s="904"/>
      <c r="BE15" s="904"/>
      <c r="BF15" s="904"/>
      <c r="BG15" s="904"/>
      <c r="BH15" s="904"/>
      <c r="BI15" s="904"/>
      <c r="BJ15" s="904"/>
      <c r="BK15" s="904"/>
      <c r="BL15" s="904"/>
      <c r="BM15" s="904"/>
      <c r="BN15" s="904"/>
    </row>
    <row r="16" spans="1:66" s="913" customFormat="1" ht="6" customHeight="1" x14ac:dyDescent="0.2">
      <c r="A16" s="954"/>
    </row>
    <row r="17" spans="1:66" s="290" customFormat="1" ht="16.5" customHeight="1" x14ac:dyDescent="0.2">
      <c r="A17" s="939" t="s">
        <v>881</v>
      </c>
      <c r="B17" s="915"/>
      <c r="C17" s="915"/>
      <c r="D17" s="915"/>
      <c r="E17" s="915"/>
      <c r="F17" s="290">
        <f>ROUND(AVERAGE(B14:F14),0)</f>
        <v>0</v>
      </c>
      <c r="G17" s="1198"/>
      <c r="H17" s="1198"/>
      <c r="I17" s="1198"/>
      <c r="J17" s="1198"/>
      <c r="K17" s="1198"/>
      <c r="L17" s="1198"/>
      <c r="M17" s="1198"/>
      <c r="N17" s="1198"/>
      <c r="O17" s="1198"/>
      <c r="P17" s="1198"/>
      <c r="Q17" s="1198"/>
      <c r="R17" s="1198"/>
      <c r="S17" s="1198"/>
      <c r="T17" s="1198"/>
      <c r="U17" s="1198"/>
      <c r="V17" s="1198"/>
      <c r="W17" s="1198"/>
      <c r="X17" s="1198"/>
      <c r="Y17" s="1198"/>
      <c r="Z17" s="1198"/>
      <c r="AA17" s="915"/>
      <c r="AB17" s="915"/>
      <c r="AC17" s="915"/>
      <c r="AD17" s="915"/>
      <c r="AE17" s="915"/>
      <c r="AF17" s="915"/>
      <c r="AG17" s="915"/>
      <c r="AH17" s="915"/>
      <c r="AI17" s="915"/>
      <c r="AJ17" s="915"/>
      <c r="AK17" s="915"/>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915"/>
      <c r="BH17" s="915"/>
      <c r="BI17" s="915"/>
      <c r="BJ17" s="915"/>
      <c r="BK17" s="915"/>
      <c r="BL17" s="915"/>
      <c r="BM17" s="915"/>
      <c r="BN17" s="915"/>
    </row>
    <row r="18" spans="1:66" s="277" customFormat="1" ht="16.5" customHeight="1" x14ac:dyDescent="0.2">
      <c r="A18" s="944" t="s">
        <v>882</v>
      </c>
      <c r="B18" s="913"/>
      <c r="C18" s="913"/>
      <c r="D18" s="913"/>
      <c r="E18" s="913"/>
      <c r="F18" s="277">
        <f>ROUND(AVERAGE(B15:F15),0)</f>
        <v>0</v>
      </c>
      <c r="G18" s="913"/>
      <c r="H18" s="913"/>
      <c r="I18" s="913"/>
      <c r="J18" s="913"/>
      <c r="K18" s="913"/>
      <c r="L18" s="913"/>
      <c r="M18" s="913"/>
      <c r="N18" s="913"/>
      <c r="O18" s="913"/>
      <c r="P18" s="913"/>
      <c r="Q18" s="913"/>
      <c r="R18" s="913"/>
      <c r="S18" s="913"/>
      <c r="T18" s="913"/>
      <c r="U18" s="913"/>
      <c r="V18" s="913"/>
      <c r="W18" s="913"/>
      <c r="X18" s="913"/>
      <c r="Y18" s="913"/>
      <c r="Z18" s="913"/>
      <c r="AA18" s="913"/>
      <c r="AB18" s="913"/>
      <c r="AC18" s="913"/>
      <c r="AD18" s="913"/>
      <c r="AE18" s="913"/>
      <c r="AF18" s="913"/>
      <c r="AG18" s="913"/>
      <c r="AH18" s="913"/>
      <c r="AI18" s="913"/>
      <c r="AJ18" s="913"/>
      <c r="AK18" s="913"/>
      <c r="AL18" s="913"/>
      <c r="AM18" s="913"/>
      <c r="AN18" s="913"/>
      <c r="AO18" s="913"/>
      <c r="AP18" s="913"/>
      <c r="AQ18" s="913"/>
      <c r="AR18" s="913"/>
      <c r="AS18" s="913"/>
      <c r="AT18" s="913"/>
      <c r="AU18" s="913"/>
      <c r="AV18" s="913"/>
      <c r="AW18" s="913"/>
      <c r="AX18" s="913"/>
      <c r="AY18" s="913"/>
      <c r="AZ18" s="913"/>
      <c r="BA18" s="913"/>
      <c r="BB18" s="913"/>
      <c r="BC18" s="913"/>
      <c r="BD18" s="913"/>
      <c r="BE18" s="913"/>
      <c r="BF18" s="913"/>
      <c r="BG18" s="913"/>
      <c r="BH18" s="913"/>
      <c r="BI18" s="913"/>
      <c r="BJ18" s="913"/>
      <c r="BK18" s="913"/>
      <c r="BL18" s="913"/>
      <c r="BM18" s="913"/>
      <c r="BN18" s="913"/>
    </row>
    <row r="19" spans="1:66" s="953" customFormat="1" ht="16.5" customHeight="1" thickBot="1" x14ac:dyDescent="0.25">
      <c r="A19" s="952" t="s">
        <v>888</v>
      </c>
      <c r="B19" s="955"/>
      <c r="C19" s="955"/>
      <c r="D19" s="955"/>
      <c r="E19" s="955"/>
      <c r="F19" s="951" t="e">
        <f>ROUND(F18/F17,0)</f>
        <v>#DIV/0!</v>
      </c>
      <c r="G19" s="955"/>
      <c r="H19" s="955"/>
      <c r="I19" s="955"/>
      <c r="J19" s="955"/>
      <c r="K19" s="955"/>
      <c r="L19" s="955"/>
      <c r="M19" s="955"/>
      <c r="N19" s="955"/>
      <c r="O19" s="955"/>
      <c r="P19" s="955"/>
      <c r="Q19" s="955"/>
      <c r="R19" s="955"/>
      <c r="S19" s="955"/>
      <c r="T19" s="955"/>
      <c r="U19" s="955"/>
      <c r="V19" s="955"/>
      <c r="W19" s="955"/>
      <c r="X19" s="955"/>
      <c r="Y19" s="955"/>
      <c r="Z19" s="955"/>
      <c r="AA19" s="955"/>
      <c r="AB19" s="955"/>
      <c r="AC19" s="955"/>
      <c r="AD19" s="955"/>
      <c r="AE19" s="955"/>
      <c r="AF19" s="955"/>
      <c r="AG19" s="955"/>
      <c r="AH19" s="955"/>
      <c r="AI19" s="955"/>
      <c r="AJ19" s="955"/>
      <c r="AK19" s="955"/>
      <c r="AL19" s="955"/>
      <c r="AM19" s="955"/>
      <c r="AN19" s="955"/>
      <c r="AO19" s="955"/>
      <c r="AP19" s="955"/>
      <c r="AQ19" s="955"/>
      <c r="AR19" s="955"/>
      <c r="AS19" s="955"/>
      <c r="AT19" s="955"/>
      <c r="AU19" s="955"/>
      <c r="AV19" s="955"/>
      <c r="AW19" s="955"/>
      <c r="AX19" s="955"/>
      <c r="AY19" s="955"/>
      <c r="AZ19" s="955"/>
      <c r="BA19" s="955"/>
      <c r="BB19" s="955"/>
      <c r="BC19" s="955"/>
      <c r="BD19" s="955"/>
      <c r="BE19" s="955"/>
      <c r="BF19" s="955"/>
      <c r="BG19" s="955"/>
      <c r="BH19" s="955"/>
      <c r="BI19" s="955"/>
      <c r="BJ19" s="955"/>
      <c r="BK19" s="955"/>
      <c r="BL19" s="955"/>
      <c r="BM19" s="955"/>
      <c r="BN19" s="955"/>
    </row>
    <row r="20" spans="1:66" s="956" customFormat="1" ht="16.5" customHeight="1" x14ac:dyDescent="0.2"/>
    <row r="21" spans="1:66" s="683" customFormat="1" ht="16.5" customHeight="1" x14ac:dyDescent="0.2">
      <c r="A21" s="66" t="s">
        <v>863</v>
      </c>
      <c r="B21" s="290">
        <f>'IS Analysis Adjustments'!B26</f>
        <v>1119</v>
      </c>
      <c r="C21" s="290">
        <f>'IS Analysis Adjustments'!L26</f>
        <v>1185</v>
      </c>
      <c r="D21" s="290">
        <f>'IS Analysis Adjustments'!V26</f>
        <v>1189</v>
      </c>
      <c r="E21" s="290">
        <f>'IS Analysis Adjustments'!AF26</f>
        <v>1185</v>
      </c>
      <c r="F21" s="290">
        <f>'IS Analysis Adjustments'!AP26</f>
        <v>976</v>
      </c>
    </row>
    <row r="22" spans="1:66" s="857" customFormat="1" ht="16.5" customHeight="1" x14ac:dyDescent="0.2">
      <c r="A22" s="41" t="s">
        <v>864</v>
      </c>
      <c r="B22" s="290">
        <f>'IS Analysis Adjustments'!B27</f>
        <v>436</v>
      </c>
      <c r="C22" s="290">
        <f>'IS Analysis Adjustments'!L27</f>
        <v>450</v>
      </c>
      <c r="D22" s="290">
        <f>'IS Analysis Adjustments'!V27</f>
        <v>455</v>
      </c>
      <c r="E22" s="290">
        <f>'IS Analysis Adjustments'!AF27</f>
        <v>465</v>
      </c>
      <c r="F22" s="290">
        <f>'IS Analysis Adjustments'!AP27</f>
        <v>376</v>
      </c>
      <c r="G22" s="1169"/>
      <c r="H22" s="1169"/>
      <c r="I22" s="1169"/>
      <c r="J22" s="1169"/>
      <c r="K22" s="1169"/>
      <c r="L22" s="1169"/>
      <c r="M22" s="1169"/>
      <c r="N22" s="1169"/>
      <c r="O22" s="1169"/>
      <c r="P22" s="1169"/>
      <c r="Q22" s="1169"/>
      <c r="R22" s="1169"/>
      <c r="S22" s="1169"/>
      <c r="T22" s="1169"/>
      <c r="U22" s="1169"/>
      <c r="V22" s="1169"/>
      <c r="W22" s="1169"/>
      <c r="X22" s="1169"/>
      <c r="Y22" s="1169"/>
      <c r="Z22" s="1169"/>
    </row>
    <row r="23" spans="1:66" s="930" customFormat="1" ht="16.5" customHeight="1" x14ac:dyDescent="0.2">
      <c r="A23" s="929" t="s">
        <v>901</v>
      </c>
      <c r="B23" s="889">
        <f>B22/B21</f>
        <v>0.3896336014298481</v>
      </c>
      <c r="C23" s="889">
        <f>C22/C21</f>
        <v>0.379746835443038</v>
      </c>
      <c r="D23" s="889">
        <f>D22/D21</f>
        <v>0.3826745164003364</v>
      </c>
      <c r="E23" s="889">
        <f>E22/E21</f>
        <v>0.39240506329113922</v>
      </c>
      <c r="F23" s="889">
        <f>F22/F21</f>
        <v>0.38524590163934425</v>
      </c>
    </row>
    <row r="25" spans="1:66" s="291" customFormat="1" ht="16.5" customHeight="1" x14ac:dyDescent="0.2">
      <c r="A25" s="940" t="s">
        <v>883</v>
      </c>
      <c r="B25" s="985" t="e">
        <f>-'IS Analysis Adjustments'!B19</f>
        <v>#VALUE!</v>
      </c>
      <c r="C25" s="986">
        <f>-'IS Analysis Adjustments'!L19</f>
        <v>0</v>
      </c>
      <c r="D25" s="987">
        <f>-'IS Analysis Adjustments'!V19</f>
        <v>0</v>
      </c>
      <c r="E25" s="988">
        <f>-'IS Analysis Adjustments'!AF19</f>
        <v>0</v>
      </c>
      <c r="F25" s="989"/>
      <c r="G25" s="975"/>
      <c r="H25" s="975"/>
      <c r="I25" s="975"/>
      <c r="J25" s="975"/>
      <c r="K25" s="975"/>
      <c r="L25" s="975"/>
      <c r="M25" s="975"/>
      <c r="N25" s="975"/>
      <c r="O25" s="975"/>
      <c r="P25" s="975"/>
      <c r="Q25" s="975"/>
      <c r="R25" s="975"/>
      <c r="S25" s="975"/>
      <c r="T25" s="975"/>
      <c r="U25" s="975"/>
      <c r="V25" s="975"/>
      <c r="W25" s="975"/>
      <c r="X25" s="975"/>
      <c r="Y25" s="975"/>
      <c r="Z25" s="975"/>
      <c r="AA25" s="975"/>
      <c r="AB25" s="975"/>
      <c r="AC25" s="975"/>
      <c r="AD25" s="975"/>
      <c r="AE25" s="975"/>
      <c r="AF25" s="975"/>
      <c r="AG25" s="975"/>
      <c r="AH25" s="975"/>
      <c r="AI25" s="975"/>
      <c r="AJ25" s="975"/>
      <c r="AK25" s="975"/>
      <c r="AL25" s="975"/>
      <c r="AM25" s="975"/>
      <c r="AN25" s="975"/>
      <c r="AO25" s="975"/>
      <c r="AP25" s="975"/>
      <c r="AQ25" s="975"/>
      <c r="AR25" s="975"/>
      <c r="AS25" s="975"/>
      <c r="AT25" s="975"/>
      <c r="AU25" s="975"/>
      <c r="AV25" s="975"/>
      <c r="AW25" s="975"/>
      <c r="AX25" s="975"/>
      <c r="AY25" s="975"/>
      <c r="AZ25" s="975"/>
      <c r="BA25" s="975"/>
      <c r="BB25" s="975"/>
      <c r="BC25" s="975"/>
      <c r="BD25" s="975"/>
      <c r="BE25" s="975"/>
      <c r="BF25" s="975"/>
      <c r="BG25" s="975"/>
      <c r="BH25" s="975"/>
      <c r="BI25" s="975"/>
      <c r="BJ25" s="975"/>
      <c r="BK25" s="975"/>
      <c r="BL25" s="975"/>
      <c r="BM25" s="975"/>
      <c r="BN25" s="975"/>
    </row>
    <row r="26" spans="1:66" s="938" customFormat="1" ht="16.5" customHeight="1" x14ac:dyDescent="0.2">
      <c r="A26" s="935" t="s">
        <v>908</v>
      </c>
      <c r="B26" s="958"/>
      <c r="C26" s="958"/>
      <c r="D26" s="990" t="e">
        <f>E26*0.5</f>
        <v>#DIV/0!</v>
      </c>
      <c r="E26" s="990" t="e">
        <f>F26*2</f>
        <v>#DIV/0!</v>
      </c>
      <c r="F26" s="990" t="e">
        <f>-F25/F19*0.5</f>
        <v>#DIV/0!</v>
      </c>
      <c r="G26" s="1198"/>
      <c r="H26" s="1198"/>
      <c r="I26" s="1198"/>
      <c r="J26" s="1198"/>
      <c r="K26" s="1198"/>
      <c r="L26" s="1198"/>
      <c r="M26" s="1198"/>
      <c r="N26" s="1198"/>
      <c r="O26" s="1198"/>
      <c r="P26" s="1198"/>
      <c r="Q26" s="1198"/>
      <c r="R26" s="1198"/>
      <c r="S26" s="1198"/>
      <c r="T26" s="1198"/>
      <c r="U26" s="1198"/>
      <c r="V26" s="1198"/>
      <c r="W26" s="1198"/>
      <c r="X26" s="1198"/>
      <c r="Y26" s="1198"/>
      <c r="Z26" s="1198"/>
      <c r="AA26" s="915"/>
      <c r="AB26" s="915"/>
      <c r="AC26" s="915"/>
      <c r="AD26" s="915"/>
      <c r="AE26" s="915"/>
      <c r="AF26" s="915"/>
      <c r="AG26" s="915"/>
      <c r="AH26" s="915"/>
      <c r="AI26" s="915"/>
      <c r="AJ26" s="915"/>
      <c r="AK26" s="915"/>
      <c r="AL26" s="915"/>
      <c r="AM26" s="915"/>
      <c r="AN26" s="915"/>
      <c r="AO26" s="915"/>
      <c r="AP26" s="915"/>
      <c r="AQ26" s="915"/>
      <c r="AR26" s="915"/>
      <c r="AS26" s="915"/>
      <c r="AT26" s="915"/>
      <c r="AU26" s="915"/>
      <c r="AV26" s="915"/>
      <c r="AW26" s="915"/>
      <c r="AX26" s="915"/>
      <c r="AY26" s="915"/>
      <c r="AZ26" s="915"/>
      <c r="BA26" s="915"/>
      <c r="BB26" s="915"/>
      <c r="BC26" s="915"/>
      <c r="BD26" s="915"/>
      <c r="BE26" s="915"/>
      <c r="BF26" s="915"/>
      <c r="BG26" s="915"/>
      <c r="BH26" s="915"/>
      <c r="BI26" s="915"/>
      <c r="BJ26" s="915"/>
      <c r="BK26" s="915"/>
      <c r="BL26" s="915"/>
      <c r="BM26" s="915"/>
      <c r="BN26" s="915"/>
    </row>
    <row r="27" spans="1:66" s="893" customFormat="1" ht="16.5" customHeight="1" x14ac:dyDescent="0.2">
      <c r="A27" s="919" t="s">
        <v>992</v>
      </c>
      <c r="B27" s="738"/>
      <c r="C27" s="991" t="e">
        <f>D27*0.5</f>
        <v>#DIV/0!</v>
      </c>
      <c r="D27" s="991" t="e">
        <f>E27*2</f>
        <v>#DIV/0!</v>
      </c>
      <c r="E27" s="992" t="e">
        <f>-E25/F19*0.5</f>
        <v>#DIV/0!</v>
      </c>
      <c r="F27" s="738"/>
      <c r="G27" s="904"/>
      <c r="H27" s="904"/>
      <c r="I27" s="904"/>
      <c r="J27" s="904"/>
      <c r="K27" s="904"/>
      <c r="L27" s="904"/>
      <c r="M27" s="904"/>
      <c r="N27" s="904"/>
      <c r="O27" s="904"/>
      <c r="P27" s="904"/>
      <c r="Q27" s="904"/>
      <c r="R27" s="904"/>
      <c r="S27" s="904"/>
      <c r="T27" s="904"/>
      <c r="U27" s="904"/>
      <c r="V27" s="904"/>
      <c r="W27" s="904"/>
      <c r="X27" s="904"/>
      <c r="Y27" s="904"/>
      <c r="Z27" s="904"/>
      <c r="AA27" s="904"/>
      <c r="AB27" s="904"/>
      <c r="AC27" s="904"/>
      <c r="AD27" s="904"/>
      <c r="AE27" s="904"/>
      <c r="AF27" s="904"/>
      <c r="AG27" s="904"/>
      <c r="AH27" s="904"/>
      <c r="AI27" s="904"/>
      <c r="AJ27" s="904"/>
      <c r="AK27" s="904"/>
      <c r="AL27" s="904"/>
      <c r="AM27" s="904"/>
      <c r="AN27" s="904"/>
      <c r="AO27" s="904"/>
      <c r="AP27" s="904"/>
      <c r="AQ27" s="904"/>
      <c r="AR27" s="904"/>
      <c r="AS27" s="904"/>
      <c r="AT27" s="904"/>
      <c r="AU27" s="904"/>
      <c r="AV27" s="904"/>
      <c r="AW27" s="904"/>
      <c r="AX27" s="904"/>
      <c r="AY27" s="904"/>
      <c r="AZ27" s="904"/>
      <c r="BA27" s="904"/>
      <c r="BB27" s="904"/>
      <c r="BC27" s="904"/>
      <c r="BD27" s="904"/>
      <c r="BE27" s="904"/>
      <c r="BF27" s="904"/>
      <c r="BG27" s="904"/>
      <c r="BH27" s="904"/>
      <c r="BI27" s="904"/>
      <c r="BJ27" s="904"/>
      <c r="BK27" s="904"/>
      <c r="BL27" s="904"/>
      <c r="BM27" s="904"/>
      <c r="BN27" s="904"/>
    </row>
    <row r="28" spans="1:66" s="893" customFormat="1" ht="16.5" customHeight="1" x14ac:dyDescent="0.2">
      <c r="A28" s="919" t="s">
        <v>909</v>
      </c>
      <c r="B28" s="982" t="e">
        <f>C28*0.5</f>
        <v>#DIV/0!</v>
      </c>
      <c r="C28" s="982" t="e">
        <f>D28*2</f>
        <v>#DIV/0!</v>
      </c>
      <c r="D28" s="982" t="e">
        <f>-D25/F19*0.5</f>
        <v>#DIV/0!</v>
      </c>
      <c r="E28" s="738"/>
      <c r="F28" s="738"/>
      <c r="G28" s="904"/>
      <c r="H28" s="904"/>
      <c r="I28" s="904"/>
      <c r="J28" s="904"/>
      <c r="K28" s="904"/>
      <c r="L28" s="904"/>
      <c r="M28" s="904"/>
      <c r="N28" s="904"/>
      <c r="O28" s="904"/>
      <c r="P28" s="904"/>
      <c r="Q28" s="904"/>
      <c r="R28" s="904"/>
      <c r="S28" s="904"/>
      <c r="T28" s="904"/>
      <c r="U28" s="904"/>
      <c r="V28" s="904"/>
      <c r="W28" s="904"/>
      <c r="X28" s="904"/>
      <c r="Y28" s="904"/>
      <c r="Z28" s="904"/>
      <c r="AA28" s="904"/>
      <c r="AB28" s="904"/>
      <c r="AC28" s="904"/>
      <c r="AD28" s="904"/>
      <c r="AE28" s="904"/>
      <c r="AF28" s="904"/>
      <c r="AG28" s="904"/>
      <c r="AH28" s="904"/>
      <c r="AI28" s="904"/>
      <c r="AJ28" s="904"/>
      <c r="AK28" s="904"/>
      <c r="AL28" s="904"/>
      <c r="AM28" s="904"/>
      <c r="AN28" s="904"/>
      <c r="AO28" s="904"/>
      <c r="AP28" s="904"/>
      <c r="AQ28" s="904"/>
      <c r="AR28" s="904"/>
      <c r="AS28" s="904"/>
      <c r="AT28" s="904"/>
      <c r="AU28" s="904"/>
      <c r="AV28" s="904"/>
      <c r="AW28" s="904"/>
      <c r="AX28" s="904"/>
      <c r="AY28" s="904"/>
      <c r="AZ28" s="904"/>
      <c r="BA28" s="904"/>
      <c r="BB28" s="904"/>
      <c r="BC28" s="904"/>
      <c r="BD28" s="904"/>
      <c r="BE28" s="904"/>
      <c r="BF28" s="904"/>
      <c r="BG28" s="904"/>
      <c r="BH28" s="904"/>
      <c r="BI28" s="904"/>
      <c r="BJ28" s="904"/>
      <c r="BK28" s="904"/>
      <c r="BL28" s="904"/>
      <c r="BM28" s="904"/>
      <c r="BN28" s="904"/>
    </row>
    <row r="29" spans="1:66" s="893" customFormat="1" ht="16.5" customHeight="1" x14ac:dyDescent="0.2">
      <c r="A29" s="919" t="s">
        <v>910</v>
      </c>
      <c r="B29" s="993" t="e">
        <f>C29*2</f>
        <v>#DIV/0!</v>
      </c>
      <c r="C29" s="993" t="e">
        <f>-C25/F19*0.5</f>
        <v>#DIV/0!</v>
      </c>
      <c r="D29" s="738"/>
      <c r="E29" s="738"/>
      <c r="F29" s="738"/>
      <c r="G29" s="904"/>
      <c r="H29" s="904"/>
      <c r="I29" s="904"/>
      <c r="J29" s="904"/>
      <c r="K29" s="904"/>
      <c r="L29" s="904"/>
      <c r="M29" s="904"/>
      <c r="N29" s="904"/>
      <c r="O29" s="904"/>
      <c r="P29" s="904"/>
      <c r="Q29" s="904"/>
      <c r="R29" s="904"/>
      <c r="S29" s="904"/>
      <c r="T29" s="904"/>
      <c r="U29" s="904"/>
      <c r="V29" s="904"/>
      <c r="W29" s="904"/>
      <c r="X29" s="904"/>
      <c r="Y29" s="904"/>
      <c r="Z29" s="904"/>
      <c r="AA29" s="904"/>
      <c r="AB29" s="904"/>
      <c r="AC29" s="904"/>
      <c r="AD29" s="904"/>
      <c r="AE29" s="904"/>
      <c r="AF29" s="904"/>
      <c r="AG29" s="904"/>
      <c r="AH29" s="904"/>
      <c r="AI29" s="904"/>
      <c r="AJ29" s="904"/>
      <c r="AK29" s="904"/>
      <c r="AL29" s="904"/>
      <c r="AM29" s="904"/>
      <c r="AN29" s="904"/>
      <c r="AO29" s="904"/>
      <c r="AP29" s="904"/>
      <c r="AQ29" s="904"/>
      <c r="AR29" s="904"/>
      <c r="AS29" s="904"/>
      <c r="AT29" s="904"/>
      <c r="AU29" s="904"/>
      <c r="AV29" s="904"/>
      <c r="AW29" s="904"/>
      <c r="AX29" s="904"/>
      <c r="AY29" s="904"/>
      <c r="AZ29" s="904"/>
      <c r="BA29" s="904"/>
      <c r="BB29" s="904"/>
      <c r="BC29" s="904"/>
      <c r="BD29" s="904"/>
      <c r="BE29" s="904"/>
      <c r="BF29" s="904"/>
      <c r="BG29" s="904"/>
      <c r="BH29" s="904"/>
      <c r="BI29" s="904"/>
      <c r="BJ29" s="904"/>
      <c r="BK29" s="904"/>
      <c r="BL29" s="904"/>
      <c r="BM29" s="904"/>
      <c r="BN29" s="904"/>
    </row>
    <row r="30" spans="1:66" s="894" customFormat="1" ht="16.5" customHeight="1" x14ac:dyDescent="0.2">
      <c r="A30" s="934" t="s">
        <v>887</v>
      </c>
      <c r="B30" s="994" t="e">
        <f>-B25/F19*0.5</f>
        <v>#VALUE!</v>
      </c>
      <c r="C30" s="957"/>
      <c r="D30" s="957"/>
      <c r="E30" s="957"/>
      <c r="F30" s="957"/>
      <c r="G30" s="913"/>
      <c r="H30" s="913"/>
      <c r="I30" s="913"/>
      <c r="J30" s="913"/>
      <c r="K30" s="913"/>
      <c r="L30" s="913"/>
      <c r="M30" s="913"/>
      <c r="N30" s="913"/>
      <c r="O30" s="913"/>
      <c r="P30" s="913"/>
      <c r="Q30" s="913"/>
      <c r="R30" s="913"/>
      <c r="S30" s="913"/>
      <c r="T30" s="913"/>
      <c r="U30" s="913"/>
      <c r="V30" s="913"/>
      <c r="W30" s="913"/>
      <c r="X30" s="913"/>
      <c r="Y30" s="913"/>
      <c r="Z30" s="913"/>
      <c r="AA30" s="913"/>
      <c r="AB30" s="913"/>
      <c r="AC30" s="913"/>
      <c r="AD30" s="913"/>
      <c r="AE30" s="913"/>
      <c r="AF30" s="913"/>
      <c r="AG30" s="913"/>
      <c r="AH30" s="913"/>
      <c r="AI30" s="913"/>
      <c r="AJ30" s="913"/>
      <c r="AK30" s="913"/>
      <c r="AL30" s="913"/>
      <c r="AM30" s="913"/>
      <c r="AN30" s="913"/>
      <c r="AO30" s="913"/>
      <c r="AP30" s="913"/>
      <c r="AQ30" s="913"/>
      <c r="AR30" s="913"/>
      <c r="AS30" s="913"/>
      <c r="AT30" s="913"/>
      <c r="AU30" s="913"/>
      <c r="AV30" s="913"/>
      <c r="AW30" s="913"/>
      <c r="AX30" s="913"/>
      <c r="AY30" s="913"/>
      <c r="AZ30" s="913"/>
      <c r="BA30" s="913"/>
      <c r="BB30" s="913"/>
      <c r="BC30" s="913"/>
      <c r="BD30" s="913"/>
      <c r="BE30" s="913"/>
      <c r="BF30" s="913"/>
      <c r="BG30" s="913"/>
      <c r="BH30" s="913"/>
      <c r="BI30" s="913"/>
      <c r="BJ30" s="913"/>
      <c r="BK30" s="913"/>
      <c r="BL30" s="913"/>
      <c r="BM30" s="913"/>
      <c r="BN30" s="913"/>
    </row>
    <row r="31" spans="1:66" s="961" customFormat="1" ht="16.5" customHeight="1" x14ac:dyDescent="0.2">
      <c r="A31" s="959" t="s">
        <v>884</v>
      </c>
      <c r="B31" s="961" t="e">
        <f>ROUND(SUM(B26:B30),0)</f>
        <v>#DIV/0!</v>
      </c>
      <c r="C31" s="961" t="e">
        <f>ROUND(SUM(C26:C30),0)</f>
        <v>#DIV/0!</v>
      </c>
      <c r="D31" s="961" t="e">
        <f>ROUND(SUM(D26:D30),0)</f>
        <v>#DIV/0!</v>
      </c>
      <c r="E31" s="961" t="e">
        <f>ROUND(SUM(E26:E30),0)</f>
        <v>#DIV/0!</v>
      </c>
      <c r="F31" s="961" t="e">
        <f>ROUND(SUM(F26:F30),0)</f>
        <v>#DIV/0!</v>
      </c>
      <c r="G31" s="976"/>
      <c r="H31" s="976"/>
      <c r="I31" s="976"/>
      <c r="J31" s="976"/>
      <c r="K31" s="976"/>
      <c r="L31" s="976"/>
      <c r="M31" s="976"/>
      <c r="N31" s="976"/>
      <c r="O31" s="976"/>
      <c r="P31" s="976"/>
      <c r="Q31" s="976"/>
      <c r="R31" s="976"/>
      <c r="S31" s="976"/>
      <c r="T31" s="976"/>
      <c r="U31" s="976"/>
      <c r="V31" s="976"/>
      <c r="W31" s="976"/>
      <c r="X31" s="976"/>
      <c r="Y31" s="976"/>
      <c r="Z31" s="976"/>
      <c r="AA31" s="976"/>
      <c r="AB31" s="976"/>
      <c r="AC31" s="976"/>
      <c r="AD31" s="976"/>
      <c r="AE31" s="976"/>
      <c r="AF31" s="976"/>
      <c r="AG31" s="976"/>
      <c r="AH31" s="976"/>
      <c r="AI31" s="976"/>
      <c r="AJ31" s="976"/>
      <c r="AK31" s="976"/>
      <c r="AL31" s="976"/>
      <c r="AM31" s="976"/>
      <c r="AN31" s="976"/>
      <c r="AO31" s="976"/>
      <c r="AP31" s="976"/>
      <c r="AQ31" s="976"/>
      <c r="AR31" s="976"/>
      <c r="AS31" s="976"/>
      <c r="AT31" s="976"/>
      <c r="AU31" s="976"/>
      <c r="AV31" s="976"/>
      <c r="AW31" s="976"/>
      <c r="AX31" s="976"/>
      <c r="AY31" s="976"/>
      <c r="AZ31" s="976"/>
      <c r="BA31" s="976"/>
      <c r="BB31" s="976"/>
      <c r="BC31" s="976"/>
      <c r="BD31" s="976"/>
      <c r="BE31" s="976"/>
      <c r="BF31" s="976"/>
      <c r="BG31" s="976"/>
      <c r="BH31" s="976"/>
      <c r="BI31" s="976"/>
      <c r="BJ31" s="976"/>
      <c r="BK31" s="976"/>
      <c r="BL31" s="976"/>
      <c r="BM31" s="976"/>
      <c r="BN31" s="976"/>
    </row>
    <row r="32" spans="1:66" s="290" customFormat="1" ht="16.5" customHeight="1" x14ac:dyDescent="0.2">
      <c r="A32" s="939" t="s">
        <v>957</v>
      </c>
      <c r="B32" s="76" t="e">
        <f>B25+B31</f>
        <v>#VALUE!</v>
      </c>
      <c r="C32" s="76" t="e">
        <f>C25+C31</f>
        <v>#DIV/0!</v>
      </c>
      <c r="D32" s="76" t="e">
        <f>D25+D31</f>
        <v>#DIV/0!</v>
      </c>
      <c r="E32" s="76" t="e">
        <f>E25+E31</f>
        <v>#DIV/0!</v>
      </c>
      <c r="F32" s="76">
        <v>1297</v>
      </c>
      <c r="G32" s="1198"/>
      <c r="H32" s="1198"/>
      <c r="I32" s="1198"/>
      <c r="J32" s="1198"/>
      <c r="K32" s="1198"/>
      <c r="L32" s="1198"/>
      <c r="M32" s="1198"/>
      <c r="N32" s="1198"/>
      <c r="O32" s="1198"/>
      <c r="P32" s="1198"/>
      <c r="Q32" s="1198"/>
      <c r="R32" s="1198"/>
      <c r="S32" s="1198"/>
      <c r="T32" s="1198"/>
      <c r="U32" s="1198"/>
      <c r="V32" s="1198"/>
      <c r="W32" s="1198"/>
      <c r="X32" s="1198"/>
      <c r="Y32" s="1198"/>
      <c r="Z32" s="1198"/>
      <c r="AA32" s="915"/>
      <c r="AB32" s="915"/>
      <c r="AC32" s="915"/>
      <c r="AD32" s="915"/>
      <c r="AE32" s="915"/>
      <c r="AF32" s="915"/>
      <c r="AG32" s="915"/>
      <c r="AH32" s="915"/>
      <c r="AI32" s="915"/>
      <c r="AJ32" s="915"/>
      <c r="AK32" s="915"/>
      <c r="AL32" s="915"/>
      <c r="AM32" s="915"/>
      <c r="AN32" s="915"/>
      <c r="AO32" s="915"/>
      <c r="AP32" s="915"/>
      <c r="AQ32" s="915"/>
      <c r="AR32" s="915"/>
      <c r="AS32" s="915"/>
      <c r="AT32" s="915"/>
      <c r="AU32" s="915"/>
      <c r="AV32" s="915"/>
      <c r="AW32" s="915"/>
      <c r="AX32" s="915"/>
      <c r="AY32" s="915"/>
      <c r="AZ32" s="915"/>
      <c r="BA32" s="915"/>
      <c r="BB32" s="915"/>
      <c r="BC32" s="915"/>
      <c r="BD32" s="915"/>
      <c r="BE32" s="915"/>
      <c r="BF32" s="915"/>
      <c r="BG32" s="915"/>
      <c r="BH32" s="915"/>
      <c r="BI32" s="915"/>
      <c r="BJ32" s="915"/>
      <c r="BK32" s="915"/>
      <c r="BL32" s="915"/>
      <c r="BM32" s="915"/>
      <c r="BN32" s="915"/>
    </row>
    <row r="33" spans="1:66" s="277" customFormat="1" ht="16.5" customHeight="1" x14ac:dyDescent="0.2">
      <c r="A33" s="944" t="s">
        <v>847</v>
      </c>
      <c r="B33" s="41" t="e">
        <f>ROUND(B32*B23,0)</f>
        <v>#VALUE!</v>
      </c>
      <c r="C33" s="41" t="e">
        <f>ROUND(C32*C23,0)</f>
        <v>#DIV/0!</v>
      </c>
      <c r="D33" s="41" t="e">
        <f>ROUND(D32*D23,0)</f>
        <v>#DIV/0!</v>
      </c>
      <c r="E33" s="41" t="e">
        <f>ROUND(E32*E23,0)</f>
        <v>#DIV/0!</v>
      </c>
      <c r="F33" s="41">
        <f>ROUND(F32*F23,0)</f>
        <v>500</v>
      </c>
      <c r="G33" s="913"/>
      <c r="H33" s="913"/>
      <c r="I33" s="913"/>
      <c r="J33" s="913"/>
      <c r="K33" s="913"/>
      <c r="L33" s="913"/>
      <c r="M33" s="913"/>
      <c r="N33" s="913"/>
      <c r="O33" s="913"/>
      <c r="P33" s="913"/>
      <c r="Q33" s="913"/>
      <c r="R33" s="913"/>
      <c r="S33" s="913"/>
      <c r="T33" s="913"/>
      <c r="U33" s="913"/>
      <c r="V33" s="913"/>
      <c r="W33" s="913"/>
      <c r="X33" s="913"/>
      <c r="Y33" s="913"/>
      <c r="Z33" s="913"/>
      <c r="AA33" s="913"/>
      <c r="AB33" s="913"/>
      <c r="AC33" s="913"/>
      <c r="AD33" s="913"/>
      <c r="AE33" s="913"/>
      <c r="AF33" s="913"/>
      <c r="AG33" s="913"/>
      <c r="AH33" s="913"/>
      <c r="AI33" s="913"/>
      <c r="AJ33" s="913"/>
      <c r="AK33" s="913"/>
      <c r="AL33" s="913"/>
      <c r="AM33" s="913"/>
      <c r="AN33" s="913"/>
      <c r="AO33" s="913"/>
      <c r="AP33" s="913"/>
      <c r="AQ33" s="913"/>
      <c r="AR33" s="913"/>
      <c r="AS33" s="913"/>
      <c r="AT33" s="913"/>
      <c r="AU33" s="913"/>
      <c r="AV33" s="913"/>
      <c r="AW33" s="913"/>
      <c r="AX33" s="913"/>
      <c r="AY33" s="913"/>
      <c r="AZ33" s="913"/>
      <c r="BA33" s="913"/>
      <c r="BB33" s="913"/>
      <c r="BC33" s="913"/>
      <c r="BD33" s="913"/>
      <c r="BE33" s="913"/>
      <c r="BF33" s="913"/>
      <c r="BG33" s="913"/>
      <c r="BH33" s="913"/>
      <c r="BI33" s="913"/>
      <c r="BJ33" s="913"/>
      <c r="BK33" s="913"/>
      <c r="BL33" s="913"/>
      <c r="BM33" s="913"/>
      <c r="BN33" s="913"/>
    </row>
    <row r="34" spans="1:66" s="943" customFormat="1" ht="16.5" customHeight="1" thickBot="1" x14ac:dyDescent="0.25">
      <c r="A34" s="942" t="s">
        <v>848</v>
      </c>
      <c r="B34" s="962" t="e">
        <f>B32-B33</f>
        <v>#VALUE!</v>
      </c>
      <c r="C34" s="962" t="e">
        <f>C32-C33</f>
        <v>#DIV/0!</v>
      </c>
      <c r="D34" s="962" t="e">
        <f>D32-D33</f>
        <v>#DIV/0!</v>
      </c>
      <c r="E34" s="962" t="e">
        <f>E32-E33</f>
        <v>#DIV/0!</v>
      </c>
      <c r="F34" s="962">
        <f>F32-F33</f>
        <v>797</v>
      </c>
      <c r="G34" s="977"/>
      <c r="H34" s="977"/>
      <c r="I34" s="977"/>
      <c r="J34" s="977"/>
      <c r="K34" s="977"/>
      <c r="L34" s="977"/>
      <c r="M34" s="977"/>
      <c r="N34" s="977"/>
      <c r="O34" s="977"/>
      <c r="P34" s="977"/>
      <c r="Q34" s="977"/>
      <c r="R34" s="977"/>
      <c r="S34" s="977"/>
      <c r="T34" s="977"/>
      <c r="U34" s="977"/>
      <c r="V34" s="977"/>
      <c r="W34" s="977"/>
      <c r="X34" s="977"/>
      <c r="Y34" s="977"/>
      <c r="Z34" s="977"/>
      <c r="AA34" s="977"/>
      <c r="AB34" s="977"/>
      <c r="AC34" s="977"/>
      <c r="AD34" s="977"/>
      <c r="AE34" s="977"/>
      <c r="AF34" s="977"/>
      <c r="AG34" s="977"/>
      <c r="AH34" s="977"/>
      <c r="AI34" s="977"/>
      <c r="AJ34" s="977"/>
      <c r="AK34" s="977"/>
      <c r="AL34" s="977"/>
      <c r="AM34" s="977"/>
      <c r="AN34" s="977"/>
      <c r="AO34" s="977"/>
      <c r="AP34" s="977"/>
      <c r="AQ34" s="977"/>
      <c r="AR34" s="977"/>
      <c r="AS34" s="977"/>
      <c r="AT34" s="977"/>
      <c r="AU34" s="977"/>
      <c r="AV34" s="977"/>
      <c r="AW34" s="977"/>
      <c r="AX34" s="977"/>
      <c r="AY34" s="977"/>
      <c r="AZ34" s="977"/>
      <c r="BA34" s="977"/>
      <c r="BB34" s="977"/>
      <c r="BC34" s="977"/>
      <c r="BD34" s="977"/>
      <c r="BE34" s="977"/>
      <c r="BF34" s="977"/>
      <c r="BG34" s="977"/>
      <c r="BH34" s="977"/>
      <c r="BI34" s="977"/>
      <c r="BJ34" s="977"/>
      <c r="BK34" s="977"/>
      <c r="BL34" s="977"/>
      <c r="BM34" s="977"/>
      <c r="BN34" s="977"/>
    </row>
    <row r="35" spans="1:66" s="949" customFormat="1" ht="9" customHeight="1" x14ac:dyDescent="0.2"/>
    <row r="36" spans="1:66" s="819" customFormat="1" ht="16.5" customHeight="1" x14ac:dyDescent="0.2">
      <c r="A36" s="898" t="s">
        <v>891</v>
      </c>
    </row>
    <row r="37" spans="1:66" s="66" customFormat="1" ht="16.5" customHeight="1" x14ac:dyDescent="0.2">
      <c r="A37" s="66" t="s">
        <v>868</v>
      </c>
      <c r="B37" s="66" t="e">
        <f>IF(B31&lt;0,-B31,0)</f>
        <v>#DIV/0!</v>
      </c>
      <c r="C37" s="66" t="e">
        <f>IF(C31&lt;0,-C31,0)</f>
        <v>#DIV/0!</v>
      </c>
      <c r="D37" s="66" t="e">
        <f>IF(D31&lt;0,-D31,0)</f>
        <v>#DIV/0!</v>
      </c>
      <c r="E37" s="66" t="e">
        <f>IF(E31&lt;0,-E31,0)</f>
        <v>#DIV/0!</v>
      </c>
      <c r="F37" s="66" t="e">
        <f>IF(F31&lt;0,-F31,0)</f>
        <v>#DIV/0!</v>
      </c>
      <c r="G37" s="726"/>
      <c r="H37" s="726"/>
      <c r="I37" s="726"/>
      <c r="J37" s="726"/>
      <c r="K37" s="726"/>
      <c r="L37" s="726"/>
      <c r="M37" s="726"/>
      <c r="N37" s="726"/>
      <c r="O37" s="726"/>
      <c r="P37" s="726"/>
      <c r="Q37" s="726"/>
      <c r="R37" s="726"/>
      <c r="S37" s="726"/>
      <c r="T37" s="726"/>
      <c r="U37" s="726"/>
      <c r="V37" s="726"/>
      <c r="W37" s="726"/>
      <c r="X37" s="726"/>
      <c r="Y37" s="726"/>
      <c r="Z37" s="726"/>
      <c r="AA37" s="726"/>
      <c r="AB37" s="726"/>
      <c r="AC37" s="726"/>
      <c r="AD37" s="726"/>
      <c r="AE37" s="726"/>
      <c r="AF37" s="726"/>
      <c r="AG37" s="726"/>
      <c r="AH37" s="726"/>
      <c r="AI37" s="726"/>
      <c r="AJ37" s="726"/>
      <c r="AK37" s="726"/>
      <c r="AL37" s="726"/>
      <c r="AM37" s="726"/>
      <c r="AN37" s="726"/>
      <c r="AO37" s="726"/>
      <c r="AP37" s="726"/>
      <c r="AQ37" s="726"/>
      <c r="AR37" s="726"/>
      <c r="AS37" s="726"/>
      <c r="AT37" s="726"/>
      <c r="AU37" s="726"/>
      <c r="AV37" s="726"/>
      <c r="AW37" s="726"/>
      <c r="AX37" s="726"/>
      <c r="AY37" s="726"/>
      <c r="AZ37" s="726"/>
      <c r="BA37" s="726"/>
      <c r="BB37" s="726"/>
      <c r="BC37" s="726"/>
      <c r="BD37" s="726"/>
      <c r="BE37" s="726"/>
      <c r="BF37" s="726"/>
      <c r="BG37" s="726"/>
      <c r="BH37" s="726"/>
      <c r="BI37" s="726"/>
      <c r="BJ37" s="726"/>
      <c r="BK37" s="726"/>
      <c r="BL37" s="726"/>
      <c r="BM37" s="726"/>
      <c r="BN37" s="726"/>
    </row>
    <row r="38" spans="1:66" s="66" customFormat="1" ht="16.5" customHeight="1" x14ac:dyDescent="0.2">
      <c r="A38" s="66" t="s">
        <v>885</v>
      </c>
      <c r="B38" s="66" t="e">
        <f>IF(B25&lt;0,-B25,0)</f>
        <v>#VALUE!</v>
      </c>
      <c r="C38" s="66">
        <f>IF(C25&lt;0,-C25,0)</f>
        <v>0</v>
      </c>
      <c r="D38" s="66">
        <f>IF(D25&lt;0,-D25,0)</f>
        <v>0</v>
      </c>
      <c r="E38" s="66">
        <f>IF(E25&lt;0,-E25,0)</f>
        <v>0</v>
      </c>
      <c r="F38" s="66">
        <f>IF(F25&lt;0,-F25,0)</f>
        <v>0</v>
      </c>
      <c r="G38" s="726"/>
      <c r="H38" s="726"/>
      <c r="I38" s="726"/>
      <c r="J38" s="726"/>
      <c r="K38" s="726"/>
      <c r="L38" s="726"/>
      <c r="M38" s="726"/>
      <c r="N38" s="726"/>
      <c r="O38" s="726"/>
      <c r="P38" s="726"/>
      <c r="Q38" s="726"/>
      <c r="R38" s="726"/>
      <c r="S38" s="726"/>
      <c r="T38" s="726"/>
      <c r="U38" s="726"/>
      <c r="V38" s="726"/>
      <c r="W38" s="726"/>
      <c r="X38" s="726"/>
      <c r="Y38" s="726"/>
      <c r="Z38" s="726"/>
      <c r="AA38" s="726"/>
      <c r="AB38" s="726"/>
      <c r="AC38" s="726"/>
      <c r="AD38" s="726"/>
      <c r="AE38" s="726"/>
      <c r="AF38" s="726"/>
      <c r="AG38" s="726"/>
      <c r="AH38" s="726"/>
      <c r="AI38" s="726"/>
      <c r="AJ38" s="726"/>
      <c r="AK38" s="726"/>
      <c r="AL38" s="726"/>
      <c r="AM38" s="726"/>
      <c r="AN38" s="726"/>
      <c r="AO38" s="726"/>
      <c r="AP38" s="726"/>
      <c r="AQ38" s="726"/>
      <c r="AR38" s="726"/>
      <c r="AS38" s="726"/>
      <c r="AT38" s="726"/>
      <c r="AU38" s="726"/>
      <c r="AV38" s="726"/>
      <c r="AW38" s="726"/>
      <c r="AX38" s="726"/>
      <c r="AY38" s="726"/>
      <c r="AZ38" s="726"/>
      <c r="BA38" s="726"/>
      <c r="BB38" s="726"/>
      <c r="BC38" s="726"/>
      <c r="BD38" s="726"/>
      <c r="BE38" s="726"/>
      <c r="BF38" s="726"/>
      <c r="BG38" s="726"/>
      <c r="BH38" s="726"/>
      <c r="BI38" s="726"/>
      <c r="BJ38" s="726"/>
      <c r="BK38" s="726"/>
      <c r="BL38" s="726"/>
      <c r="BM38" s="726"/>
      <c r="BN38" s="726"/>
    </row>
    <row r="39" spans="1:66" s="66" customFormat="1" ht="16.5" customHeight="1" x14ac:dyDescent="0.2">
      <c r="A39" s="66" t="s">
        <v>903</v>
      </c>
      <c r="B39" s="66" t="e">
        <f t="shared" ref="B39:F40" si="0">IF(B33&gt;0,B33,0)</f>
        <v>#VALUE!</v>
      </c>
      <c r="C39" s="66" t="e">
        <f t="shared" si="0"/>
        <v>#DIV/0!</v>
      </c>
      <c r="D39" s="66" t="e">
        <f t="shared" si="0"/>
        <v>#DIV/0!</v>
      </c>
      <c r="E39" s="66" t="e">
        <f t="shared" si="0"/>
        <v>#DIV/0!</v>
      </c>
      <c r="F39" s="66">
        <f t="shared" si="0"/>
        <v>500</v>
      </c>
      <c r="G39" s="726"/>
      <c r="H39" s="726"/>
      <c r="I39" s="726"/>
      <c r="J39" s="726"/>
      <c r="K39" s="726"/>
      <c r="L39" s="726"/>
      <c r="M39" s="726"/>
      <c r="N39" s="726"/>
      <c r="O39" s="726"/>
      <c r="P39" s="726"/>
      <c r="Q39" s="726"/>
      <c r="R39" s="726"/>
      <c r="S39" s="726"/>
      <c r="T39" s="726"/>
      <c r="U39" s="726"/>
      <c r="V39" s="726"/>
      <c r="W39" s="726"/>
      <c r="X39" s="726"/>
      <c r="Y39" s="726"/>
      <c r="Z39" s="726"/>
      <c r="AA39" s="726"/>
      <c r="AB39" s="726"/>
      <c r="AC39" s="726"/>
      <c r="AD39" s="726"/>
      <c r="AE39" s="726"/>
      <c r="AF39" s="726"/>
      <c r="AG39" s="726"/>
      <c r="AH39" s="726"/>
      <c r="AI39" s="726"/>
      <c r="AJ39" s="726"/>
      <c r="AK39" s="726"/>
      <c r="AL39" s="726"/>
      <c r="AM39" s="726"/>
      <c r="AN39" s="726"/>
      <c r="AO39" s="726"/>
      <c r="AP39" s="726"/>
      <c r="AQ39" s="726"/>
      <c r="AR39" s="726"/>
      <c r="AS39" s="726"/>
      <c r="AT39" s="726"/>
      <c r="AU39" s="726"/>
      <c r="AV39" s="726"/>
      <c r="AW39" s="726"/>
      <c r="AX39" s="726"/>
      <c r="AY39" s="726"/>
      <c r="AZ39" s="726"/>
      <c r="BA39" s="726"/>
      <c r="BB39" s="726"/>
      <c r="BC39" s="726"/>
      <c r="BD39" s="726"/>
      <c r="BE39" s="726"/>
      <c r="BF39" s="726"/>
      <c r="BG39" s="726"/>
      <c r="BH39" s="726"/>
      <c r="BI39" s="726"/>
      <c r="BJ39" s="726"/>
      <c r="BK39" s="726"/>
      <c r="BL39" s="726"/>
      <c r="BM39" s="726"/>
      <c r="BN39" s="726"/>
    </row>
    <row r="40" spans="1:66" s="66" customFormat="1" ht="16.5" customHeight="1" x14ac:dyDescent="0.2">
      <c r="A40" s="66" t="s">
        <v>902</v>
      </c>
      <c r="B40" s="66" t="e">
        <f t="shared" si="0"/>
        <v>#VALUE!</v>
      </c>
      <c r="C40" s="66" t="e">
        <f t="shared" si="0"/>
        <v>#DIV/0!</v>
      </c>
      <c r="D40" s="66" t="e">
        <f t="shared" si="0"/>
        <v>#DIV/0!</v>
      </c>
      <c r="E40" s="66" t="e">
        <f t="shared" si="0"/>
        <v>#DIV/0!</v>
      </c>
      <c r="F40" s="66">
        <f t="shared" si="0"/>
        <v>797</v>
      </c>
      <c r="G40" s="726"/>
      <c r="H40" s="726"/>
      <c r="I40" s="726"/>
      <c r="J40" s="726"/>
      <c r="K40" s="726"/>
      <c r="L40" s="726"/>
      <c r="M40" s="726"/>
      <c r="N40" s="726"/>
      <c r="O40" s="726"/>
      <c r="P40" s="726"/>
      <c r="Q40" s="726"/>
      <c r="R40" s="726"/>
      <c r="S40" s="726"/>
      <c r="T40" s="726"/>
      <c r="U40" s="726"/>
      <c r="V40" s="726"/>
      <c r="W40" s="726"/>
      <c r="X40" s="726"/>
      <c r="Y40" s="726"/>
      <c r="Z40" s="726"/>
      <c r="AA40" s="726"/>
      <c r="AB40" s="726"/>
      <c r="AC40" s="726"/>
      <c r="AD40" s="726"/>
      <c r="AE40" s="726"/>
      <c r="AF40" s="726"/>
      <c r="AG40" s="726"/>
      <c r="AH40" s="726"/>
      <c r="AI40" s="726"/>
      <c r="AJ40" s="726"/>
      <c r="AK40" s="726"/>
      <c r="AL40" s="726"/>
      <c r="AM40" s="726"/>
      <c r="AN40" s="726"/>
      <c r="AO40" s="726"/>
      <c r="AP40" s="726"/>
      <c r="AQ40" s="726"/>
      <c r="AR40" s="726"/>
      <c r="AS40" s="726"/>
      <c r="AT40" s="726"/>
      <c r="AU40" s="726"/>
      <c r="AV40" s="726"/>
      <c r="AW40" s="726"/>
      <c r="AX40" s="726"/>
      <c r="AY40" s="726"/>
      <c r="AZ40" s="726"/>
      <c r="BA40" s="726"/>
      <c r="BB40" s="726"/>
      <c r="BC40" s="726"/>
      <c r="BD40" s="726"/>
      <c r="BE40" s="726"/>
      <c r="BF40" s="726"/>
      <c r="BG40" s="726"/>
      <c r="BH40" s="726"/>
      <c r="BI40" s="726"/>
      <c r="BJ40" s="726"/>
      <c r="BK40" s="726"/>
      <c r="BL40" s="726"/>
      <c r="BM40" s="726"/>
      <c r="BN40" s="726"/>
    </row>
    <row r="41" spans="1:66" s="66" customFormat="1" ht="16.5" customHeight="1" x14ac:dyDescent="0.2">
      <c r="A41" s="66" t="s">
        <v>839</v>
      </c>
      <c r="B41" s="66" t="e">
        <f>IF(B34&lt;0,B34,0)</f>
        <v>#VALUE!</v>
      </c>
      <c r="C41" s="66" t="e">
        <f>IF(C34&lt;0,C34,0)</f>
        <v>#DIV/0!</v>
      </c>
      <c r="D41" s="66" t="e">
        <f>IF(D34&lt;0,D34,0)</f>
        <v>#DIV/0!</v>
      </c>
      <c r="E41" s="66" t="e">
        <f>IF(E34&lt;0,E34,0)</f>
        <v>#DIV/0!</v>
      </c>
      <c r="F41" s="66">
        <f>IF(F34&lt;0,F34,0)</f>
        <v>0</v>
      </c>
      <c r="G41" s="726"/>
      <c r="H41" s="726"/>
      <c r="I41" s="726"/>
      <c r="J41" s="726"/>
      <c r="K41" s="726"/>
      <c r="L41" s="726"/>
      <c r="M41" s="726"/>
      <c r="N41" s="726"/>
      <c r="O41" s="726"/>
      <c r="P41" s="726"/>
      <c r="Q41" s="726"/>
      <c r="R41" s="726"/>
      <c r="S41" s="726"/>
      <c r="T41" s="726"/>
      <c r="U41" s="726"/>
      <c r="V41" s="726"/>
      <c r="W41" s="726"/>
      <c r="X41" s="726"/>
      <c r="Y41" s="726"/>
      <c r="Z41" s="726"/>
      <c r="AA41" s="726"/>
      <c r="AB41" s="726"/>
      <c r="AC41" s="726"/>
      <c r="AD41" s="726"/>
      <c r="AE41" s="726"/>
      <c r="AF41" s="726"/>
      <c r="AG41" s="726"/>
      <c r="AH41" s="726"/>
      <c r="AI41" s="726"/>
      <c r="AJ41" s="726"/>
      <c r="AK41" s="726"/>
      <c r="AL41" s="726"/>
      <c r="AM41" s="726"/>
      <c r="AN41" s="726"/>
      <c r="AO41" s="726"/>
      <c r="AP41" s="726"/>
      <c r="AQ41" s="726"/>
      <c r="AR41" s="726"/>
      <c r="AS41" s="726"/>
      <c r="AT41" s="726"/>
      <c r="AU41" s="726"/>
      <c r="AV41" s="726"/>
      <c r="AW41" s="726"/>
      <c r="AX41" s="726"/>
      <c r="AY41" s="726"/>
      <c r="AZ41" s="726"/>
      <c r="BA41" s="726"/>
      <c r="BB41" s="726"/>
      <c r="BC41" s="726"/>
      <c r="BD41" s="726"/>
      <c r="BE41" s="726"/>
      <c r="BF41" s="726"/>
      <c r="BG41" s="726"/>
      <c r="BH41" s="726"/>
      <c r="BI41" s="726"/>
      <c r="BJ41" s="726"/>
      <c r="BK41" s="726"/>
      <c r="BL41" s="726"/>
      <c r="BM41" s="726"/>
      <c r="BN41" s="726"/>
    </row>
    <row r="42" spans="1:66" s="66" customFormat="1" ht="16.5" customHeight="1" x14ac:dyDescent="0.2">
      <c r="A42" s="66" t="s">
        <v>840</v>
      </c>
      <c r="B42" s="66" t="e">
        <f>IF(B33&lt;0,B33,0)</f>
        <v>#VALUE!</v>
      </c>
      <c r="C42" s="66" t="e">
        <f>IF(C33&lt;0,C33,0)</f>
        <v>#DIV/0!</v>
      </c>
      <c r="D42" s="66" t="e">
        <f>IF(D33&lt;0,D33,0)</f>
        <v>#DIV/0!</v>
      </c>
      <c r="E42" s="66" t="e">
        <f>IF(E33&lt;0,E33,0)</f>
        <v>#DIV/0!</v>
      </c>
      <c r="F42" s="66">
        <f>IF(F33&lt;0,F33,0)</f>
        <v>0</v>
      </c>
      <c r="G42" s="726"/>
      <c r="H42" s="726"/>
      <c r="I42" s="726"/>
      <c r="J42" s="726"/>
      <c r="K42" s="726"/>
      <c r="L42" s="726"/>
      <c r="M42" s="726"/>
      <c r="N42" s="726"/>
      <c r="O42" s="726"/>
      <c r="P42" s="726"/>
      <c r="Q42" s="726"/>
      <c r="R42" s="726"/>
      <c r="S42" s="726"/>
      <c r="T42" s="726"/>
      <c r="U42" s="726"/>
      <c r="V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row>
    <row r="43" spans="1:66" s="66" customFormat="1" ht="16.5" customHeight="1" x14ac:dyDescent="0.2">
      <c r="A43" s="66" t="s">
        <v>886</v>
      </c>
      <c r="B43" s="66" t="e">
        <f>IF(B25&gt;0,-B25,0)</f>
        <v>#VALUE!</v>
      </c>
      <c r="C43" s="66">
        <f>IF(C25&gt;0,-C25,0)</f>
        <v>0</v>
      </c>
      <c r="D43" s="66">
        <f>IF(D25&gt;0,-D25,0)</f>
        <v>0</v>
      </c>
      <c r="E43" s="66">
        <f>IF(E25&gt;0,-E25,0)</f>
        <v>0</v>
      </c>
      <c r="F43" s="66">
        <f>IF(F25&gt;0,-F25,0)</f>
        <v>0</v>
      </c>
      <c r="G43" s="726"/>
      <c r="H43" s="726"/>
      <c r="I43" s="726"/>
      <c r="J43" s="726"/>
      <c r="K43" s="726"/>
      <c r="L43" s="726"/>
      <c r="M43" s="726"/>
      <c r="N43" s="726"/>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row>
    <row r="44" spans="1:66" s="32" customFormat="1" ht="16.5" customHeight="1" x14ac:dyDescent="0.2">
      <c r="A44" s="32" t="s">
        <v>871</v>
      </c>
      <c r="B44" s="32" t="e">
        <f>IF(B31&gt;0,-B31,0)</f>
        <v>#DIV/0!</v>
      </c>
      <c r="C44" s="32" t="e">
        <f>IF(C31&gt;0,-C31,0)</f>
        <v>#DIV/0!</v>
      </c>
      <c r="D44" s="32" t="e">
        <f>IF(D31&gt;0,-D31,0)</f>
        <v>#DIV/0!</v>
      </c>
      <c r="E44" s="32" t="e">
        <f>IF(E31&gt;0,-E31,0)</f>
        <v>#DIV/0!</v>
      </c>
      <c r="F44" s="32" t="e">
        <f>IF(F31&gt;0,-F31,0)</f>
        <v>#DIV/0!</v>
      </c>
      <c r="G44" s="718"/>
      <c r="H44" s="718"/>
      <c r="I44" s="718"/>
      <c r="J44" s="718"/>
      <c r="K44" s="718"/>
      <c r="L44" s="718"/>
      <c r="M44" s="718"/>
      <c r="N44" s="718"/>
      <c r="O44" s="718"/>
      <c r="P44" s="718"/>
      <c r="Q44" s="718"/>
      <c r="R44" s="718"/>
      <c r="S44" s="718"/>
      <c r="T44" s="718"/>
      <c r="U44" s="718"/>
      <c r="V44" s="718"/>
      <c r="W44" s="718"/>
      <c r="X44" s="718"/>
      <c r="Y44" s="718"/>
      <c r="Z44" s="718"/>
      <c r="AA44" s="718"/>
      <c r="AB44" s="718"/>
      <c r="AC44" s="718"/>
      <c r="AD44" s="718"/>
      <c r="AE44" s="718"/>
      <c r="AF44" s="718"/>
      <c r="AG44" s="718"/>
      <c r="AH44" s="718"/>
      <c r="AI44" s="718"/>
      <c r="AJ44" s="718"/>
      <c r="AK44" s="718"/>
      <c r="AL44" s="718"/>
      <c r="AM44" s="718"/>
      <c r="AN44" s="718"/>
      <c r="AO44" s="718"/>
      <c r="AP44" s="718"/>
      <c r="AQ44" s="718"/>
      <c r="AR44" s="718"/>
      <c r="AS44" s="718"/>
      <c r="AT44" s="718"/>
      <c r="AU44" s="718"/>
      <c r="AV44" s="718"/>
      <c r="AW44" s="718"/>
      <c r="AX44" s="718"/>
      <c r="AY44" s="718"/>
      <c r="AZ44" s="718"/>
      <c r="BA44" s="718"/>
      <c r="BB44" s="718"/>
      <c r="BC44" s="718"/>
      <c r="BD44" s="718"/>
      <c r="BE44" s="718"/>
      <c r="BF44" s="718"/>
      <c r="BG44" s="718"/>
      <c r="BH44" s="718"/>
      <c r="BI44" s="718"/>
      <c r="BJ44" s="718"/>
      <c r="BK44" s="718"/>
      <c r="BL44" s="718"/>
      <c r="BM44" s="718"/>
      <c r="BN44" s="718"/>
    </row>
    <row r="45" spans="1:66" s="687" customFormat="1" ht="16.5" customHeight="1" thickBot="1" x14ac:dyDescent="0.25">
      <c r="A45" s="890" t="s">
        <v>817</v>
      </c>
      <c r="B45" s="37" t="e">
        <f>SUM(B37:B44)</f>
        <v>#DIV/0!</v>
      </c>
      <c r="C45" s="37" t="e">
        <f>SUM(C37:C44)</f>
        <v>#DIV/0!</v>
      </c>
      <c r="D45" s="37" t="e">
        <f>SUM(D37:D44)</f>
        <v>#DIV/0!</v>
      </c>
      <c r="E45" s="37" t="e">
        <f>SUM(E37:E44)</f>
        <v>#DIV/0!</v>
      </c>
      <c r="F45" s="37" t="e">
        <f>SUM(F37:F44)</f>
        <v>#DIV/0!</v>
      </c>
    </row>
    <row r="46" spans="1:66" s="948" customFormat="1" ht="16.5" customHeight="1" x14ac:dyDescent="0.2"/>
    <row r="47" spans="1:66" s="949" customFormat="1" ht="16.5" customHeight="1" x14ac:dyDescent="0.2"/>
    <row r="48" spans="1:66" s="710" customFormat="1" ht="16.5" customHeight="1" x14ac:dyDescent="0.2">
      <c r="A48" s="891" t="s">
        <v>983</v>
      </c>
    </row>
    <row r="49" spans="1:26" s="857" customFormat="1" ht="9" customHeight="1" x14ac:dyDescent="0.2">
      <c r="G49" s="1169"/>
      <c r="H49" s="1169"/>
      <c r="I49" s="1169"/>
      <c r="J49" s="1169"/>
      <c r="K49" s="1169"/>
      <c r="L49" s="1169"/>
      <c r="M49" s="1169"/>
      <c r="N49" s="1169"/>
      <c r="O49" s="1169"/>
      <c r="P49" s="1169"/>
      <c r="Q49" s="1169"/>
      <c r="R49" s="1169"/>
      <c r="S49" s="1169"/>
      <c r="T49" s="1169"/>
      <c r="U49" s="1169"/>
      <c r="V49" s="1169"/>
      <c r="W49" s="1169"/>
      <c r="X49" s="1169"/>
      <c r="Y49" s="1169"/>
      <c r="Z49" s="1169"/>
    </row>
    <row r="50" spans="1:26" s="857" customFormat="1" ht="16.5" customHeight="1" x14ac:dyDescent="0.2">
      <c r="A50" s="246" t="s">
        <v>241</v>
      </c>
      <c r="B50" s="50" t="s">
        <v>493</v>
      </c>
      <c r="C50" s="50"/>
      <c r="D50" s="50"/>
      <c r="E50" s="50"/>
      <c r="F50" s="50"/>
      <c r="G50" s="1169"/>
      <c r="H50" s="1169"/>
      <c r="I50" s="1169"/>
      <c r="J50" s="1169"/>
      <c r="K50" s="1169"/>
      <c r="L50" s="1169"/>
      <c r="M50" s="1169"/>
      <c r="N50" s="1169"/>
      <c r="O50" s="1169"/>
      <c r="P50" s="1169"/>
      <c r="Q50" s="1169"/>
      <c r="R50" s="1169"/>
      <c r="S50" s="1169"/>
      <c r="T50" s="1169"/>
      <c r="U50" s="1169"/>
      <c r="V50" s="1169"/>
      <c r="W50" s="1169"/>
      <c r="X50" s="1169"/>
      <c r="Y50" s="1169"/>
      <c r="Z50" s="1169"/>
    </row>
    <row r="51" spans="1:26" s="857" customFormat="1" ht="16.5" customHeight="1" x14ac:dyDescent="0.2">
      <c r="B51" s="644">
        <f>'BS Analysis Adjustments'!B1</f>
        <v>2011</v>
      </c>
      <c r="C51" s="644">
        <f>'BS Analysis Adjustments'!L1</f>
        <v>2012</v>
      </c>
      <c r="D51" s="644">
        <f>'BS Analysis Adjustments'!V1</f>
        <v>2013</v>
      </c>
      <c r="E51" s="644">
        <f>'BS Analysis Adjustments'!AF1</f>
        <v>2014</v>
      </c>
      <c r="F51" s="644">
        <f>'BS Analysis Adjustments'!AP1</f>
        <v>2015</v>
      </c>
      <c r="G51" s="1169"/>
      <c r="H51" s="1169"/>
      <c r="I51" s="1169"/>
      <c r="J51" s="1169"/>
      <c r="K51" s="1169"/>
      <c r="L51" s="1169"/>
      <c r="M51" s="1169"/>
      <c r="N51" s="1169"/>
      <c r="O51" s="1169"/>
      <c r="P51" s="1169"/>
      <c r="Q51" s="1169"/>
      <c r="R51" s="1169"/>
      <c r="S51" s="1169"/>
      <c r="T51" s="1169"/>
      <c r="U51" s="1169"/>
      <c r="V51" s="1169"/>
      <c r="W51" s="1169"/>
      <c r="X51" s="1169"/>
      <c r="Y51" s="1169"/>
      <c r="Z51" s="1169"/>
    </row>
    <row r="52" spans="1:26" s="920" customFormat="1" ht="16.5" customHeight="1" x14ac:dyDescent="0.2">
      <c r="A52" s="921" t="s">
        <v>416</v>
      </c>
      <c r="G52" s="1193"/>
      <c r="H52" s="1193"/>
      <c r="I52" s="1193"/>
      <c r="J52" s="1193"/>
      <c r="K52" s="1193"/>
      <c r="L52" s="1193"/>
      <c r="M52" s="1193"/>
      <c r="N52" s="1193"/>
      <c r="O52" s="1193"/>
      <c r="P52" s="1193"/>
      <c r="Q52" s="1193"/>
      <c r="R52" s="1193"/>
      <c r="S52" s="1193"/>
      <c r="T52" s="1193"/>
      <c r="U52" s="1193"/>
      <c r="V52" s="1193"/>
      <c r="W52" s="1193"/>
      <c r="X52" s="1193"/>
      <c r="Y52" s="1193"/>
      <c r="Z52" s="1193"/>
    </row>
    <row r="53" spans="1:26" ht="16.5" customHeight="1" x14ac:dyDescent="0.2">
      <c r="A53" s="974" t="s">
        <v>984</v>
      </c>
      <c r="B53" s="726"/>
      <c r="C53" s="726"/>
      <c r="D53" s="726"/>
      <c r="E53" s="726"/>
      <c r="F53" s="726"/>
    </row>
    <row r="54" spans="1:26" ht="16.5" customHeight="1" x14ac:dyDescent="0.2">
      <c r="A54" s="66" t="s">
        <v>729</v>
      </c>
      <c r="B54" s="92">
        <f>-'BS Analysis Adjustments'!B17</f>
        <v>3791</v>
      </c>
      <c r="C54" s="92">
        <f>-'BS Analysis Adjustments'!L17</f>
        <v>4064</v>
      </c>
      <c r="D54" s="92">
        <f>-'BS Analysis Adjustments'!V17</f>
        <v>4395</v>
      </c>
      <c r="E54" s="92">
        <f>-'BS Analysis Adjustments'!AF17</f>
        <v>4698</v>
      </c>
      <c r="F54" s="92">
        <f>-'BS Analysis Adjustments'!AP17</f>
        <v>5108</v>
      </c>
    </row>
    <row r="55" spans="1:26" s="970" customFormat="1" ht="16.5" customHeight="1" x14ac:dyDescent="0.2">
      <c r="A55" s="266" t="s">
        <v>979</v>
      </c>
      <c r="B55" s="1243">
        <v>6184</v>
      </c>
      <c r="C55" s="1243">
        <v>6567</v>
      </c>
      <c r="D55" s="1243">
        <v>7264</v>
      </c>
      <c r="E55" s="1243">
        <v>7939</v>
      </c>
      <c r="F55" s="1243">
        <v>8739</v>
      </c>
    </row>
    <row r="56" spans="1:26" s="971" customFormat="1" ht="16.5" customHeight="1" x14ac:dyDescent="0.2">
      <c r="A56" s="923" t="s">
        <v>975</v>
      </c>
      <c r="B56" s="981">
        <f>B54/B55</f>
        <v>0.61303363518758081</v>
      </c>
      <c r="C56" s="981">
        <f>C54/C55</f>
        <v>0.61885183493223694</v>
      </c>
      <c r="D56" s="981">
        <f>D54/D55</f>
        <v>0.60503854625550657</v>
      </c>
      <c r="E56" s="981">
        <f>E54/E55</f>
        <v>0.59176218667338454</v>
      </c>
      <c r="F56" s="981">
        <f>F54/F55</f>
        <v>0.58450623641148869</v>
      </c>
    </row>
    <row r="57" spans="1:26" s="857" customFormat="1" ht="9" customHeight="1" x14ac:dyDescent="0.2">
      <c r="A57" s="677"/>
      <c r="B57" s="912"/>
      <c r="C57" s="912"/>
      <c r="D57" s="912"/>
      <c r="E57" s="912"/>
      <c r="F57" s="912"/>
      <c r="G57" s="1169"/>
      <c r="H57" s="1169"/>
      <c r="I57" s="1169"/>
      <c r="J57" s="1169"/>
      <c r="K57" s="1169"/>
      <c r="L57" s="1169"/>
      <c r="M57" s="1169"/>
      <c r="N57" s="1169"/>
      <c r="O57" s="1169"/>
      <c r="P57" s="1169"/>
      <c r="Q57" s="1169"/>
      <c r="R57" s="1169"/>
      <c r="S57" s="1169"/>
      <c r="T57" s="1169"/>
      <c r="U57" s="1169"/>
      <c r="V57" s="1169"/>
      <c r="W57" s="1169"/>
      <c r="X57" s="1169"/>
      <c r="Y57" s="1169"/>
      <c r="Z57" s="1169"/>
    </row>
    <row r="58" spans="1:26" s="956" customFormat="1" ht="16.5" customHeight="1" x14ac:dyDescent="0.2">
      <c r="A58" s="885" t="s">
        <v>985</v>
      </c>
      <c r="B58" s="963"/>
      <c r="C58" s="964"/>
      <c r="D58" s="963"/>
      <c r="E58" s="963"/>
      <c r="F58" s="964"/>
    </row>
    <row r="59" spans="1:26" s="948" customFormat="1" ht="16.5" customHeight="1" x14ac:dyDescent="0.2">
      <c r="A59" s="41" t="s">
        <v>987</v>
      </c>
      <c r="B59" s="979">
        <f>'Common-size FS'!C106</f>
        <v>325</v>
      </c>
      <c r="C59" s="979">
        <f>'Common-size FS'!D106</f>
        <v>366</v>
      </c>
      <c r="D59" s="979">
        <f>'Common-size FS'!E106</f>
        <v>396</v>
      </c>
      <c r="E59" s="979">
        <f>'Common-size FS'!F106</f>
        <v>432</v>
      </c>
      <c r="F59" s="979">
        <f>'Common-size FS'!G106</f>
        <v>497</v>
      </c>
    </row>
    <row r="60" spans="1:26" s="971" customFormat="1" ht="16.5" customHeight="1" x14ac:dyDescent="0.2">
      <c r="A60" s="965" t="s">
        <v>986</v>
      </c>
      <c r="B60" s="980">
        <f>ROUND(B55/B59,0)</f>
        <v>19</v>
      </c>
      <c r="C60" s="980">
        <f>ROUND(C55/C59,0)</f>
        <v>18</v>
      </c>
      <c r="D60" s="980">
        <f>ROUND(D55/D59,0)</f>
        <v>18</v>
      </c>
      <c r="E60" s="980">
        <f>ROUND(E55/E59,0)</f>
        <v>18</v>
      </c>
      <c r="F60" s="980">
        <f>ROUND(F55/F59,0)</f>
        <v>18</v>
      </c>
    </row>
    <row r="61" spans="1:26" s="971" customFormat="1" ht="16.5" customHeight="1" x14ac:dyDescent="0.2">
      <c r="A61" s="965" t="s">
        <v>990</v>
      </c>
      <c r="B61" s="980">
        <f>ROUND(B56*B60,0)</f>
        <v>12</v>
      </c>
      <c r="C61" s="980">
        <f>ROUND(C56*C60,0)</f>
        <v>11</v>
      </c>
      <c r="D61" s="980">
        <f>ROUND(D56*D60,0)</f>
        <v>11</v>
      </c>
      <c r="E61" s="980">
        <f>ROUND(E56*E60,0)</f>
        <v>11</v>
      </c>
      <c r="F61" s="980">
        <f>ROUND(F56*F60,0)</f>
        <v>11</v>
      </c>
    </row>
    <row r="62" spans="1:26" s="857" customFormat="1" ht="9" customHeight="1" x14ac:dyDescent="0.2">
      <c r="G62" s="1169"/>
      <c r="H62" s="1169"/>
      <c r="I62" s="1169"/>
      <c r="J62" s="1169"/>
      <c r="K62" s="1169"/>
      <c r="L62" s="1169"/>
      <c r="M62" s="1169"/>
      <c r="N62" s="1169"/>
      <c r="O62" s="1169"/>
      <c r="P62" s="1169"/>
      <c r="Q62" s="1169"/>
      <c r="R62" s="1169"/>
      <c r="S62" s="1169"/>
      <c r="T62" s="1169"/>
      <c r="U62" s="1169"/>
      <c r="V62" s="1169"/>
      <c r="W62" s="1169"/>
      <c r="X62" s="1169"/>
      <c r="Y62" s="1169"/>
      <c r="Z62" s="1169"/>
    </row>
    <row r="63" spans="1:26" s="857" customFormat="1" ht="16.5" customHeight="1" x14ac:dyDescent="0.2">
      <c r="A63" s="735" t="s">
        <v>988</v>
      </c>
      <c r="G63" s="1169"/>
      <c r="H63" s="1169"/>
      <c r="I63" s="1169"/>
      <c r="J63" s="1169"/>
      <c r="K63" s="1169"/>
      <c r="L63" s="1169"/>
      <c r="M63" s="1169"/>
      <c r="N63" s="1169"/>
      <c r="O63" s="1169"/>
      <c r="P63" s="1169"/>
      <c r="Q63" s="1169"/>
      <c r="R63" s="1169"/>
      <c r="S63" s="1169"/>
      <c r="T63" s="1169"/>
      <c r="U63" s="1169"/>
      <c r="V63" s="1169"/>
      <c r="W63" s="1169"/>
      <c r="X63" s="1169"/>
      <c r="Y63" s="1169"/>
      <c r="Z63" s="1169"/>
    </row>
    <row r="64" spans="1:26" ht="16.5" customHeight="1" x14ac:dyDescent="0.2">
      <c r="A64" s="32" t="s">
        <v>863</v>
      </c>
      <c r="B64" s="92">
        <f>'IS Analysis Adjustments'!B26</f>
        <v>1119</v>
      </c>
      <c r="C64" s="92">
        <f>'IS Analysis Adjustments'!L26</f>
        <v>1185</v>
      </c>
      <c r="D64" s="92">
        <f>'IS Analysis Adjustments'!V26</f>
        <v>1189</v>
      </c>
      <c r="E64" s="92">
        <f>'IS Analysis Adjustments'!AF26</f>
        <v>1185</v>
      </c>
      <c r="F64" s="92">
        <f>'IS Analysis Adjustments'!AP26</f>
        <v>976</v>
      </c>
    </row>
    <row r="65" spans="1:26" s="948" customFormat="1" ht="16.5" customHeight="1" x14ac:dyDescent="0.2">
      <c r="A65" s="41" t="s">
        <v>864</v>
      </c>
      <c r="B65" s="892">
        <f>'IS Analysis Adjustments'!B27</f>
        <v>436</v>
      </c>
      <c r="C65" s="892">
        <f>'IS Analysis Adjustments'!L27</f>
        <v>450</v>
      </c>
      <c r="D65" s="892">
        <f>'IS Analysis Adjustments'!V27</f>
        <v>455</v>
      </c>
      <c r="E65" s="892">
        <f>'IS Analysis Adjustments'!AF27</f>
        <v>465</v>
      </c>
      <c r="F65" s="892">
        <f>'IS Analysis Adjustments'!AP27</f>
        <v>376</v>
      </c>
    </row>
    <row r="66" spans="1:26" s="971" customFormat="1" ht="16.5" customHeight="1" x14ac:dyDescent="0.2">
      <c r="A66" s="929" t="s">
        <v>901</v>
      </c>
      <c r="B66" s="889">
        <f>B65/B64</f>
        <v>0.3896336014298481</v>
      </c>
      <c r="C66" s="889">
        <f>C65/C64</f>
        <v>0.379746835443038</v>
      </c>
      <c r="D66" s="889">
        <f>D65/D64</f>
        <v>0.3826745164003364</v>
      </c>
      <c r="E66" s="889">
        <f>E65/E64</f>
        <v>0.39240506329113922</v>
      </c>
      <c r="F66" s="889">
        <f>F65/F64</f>
        <v>0.38524590163934425</v>
      </c>
    </row>
    <row r="67" spans="1:26" s="683" customFormat="1" ht="16.5" customHeight="1" x14ac:dyDescent="0.2">
      <c r="A67" s="726"/>
      <c r="B67" s="726"/>
      <c r="C67" s="726"/>
      <c r="D67" s="726"/>
      <c r="E67" s="726"/>
      <c r="F67" s="726"/>
    </row>
    <row r="68" spans="1:26" s="948" customFormat="1" ht="16.5" customHeight="1" x14ac:dyDescent="0.2">
      <c r="A68" s="75" t="s">
        <v>989</v>
      </c>
      <c r="B68" s="985" t="e">
        <f>-'IS Analysis Adjustments'!B20</f>
        <v>#VALUE!</v>
      </c>
      <c r="C68" s="986">
        <f>-'IS Analysis Adjustments'!L20</f>
        <v>0</v>
      </c>
      <c r="D68" s="987">
        <f>-'IS Analysis Adjustments'!V20</f>
        <v>0</v>
      </c>
      <c r="E68" s="988">
        <f>-'IS Analysis Adjustments'!AF20</f>
        <v>0</v>
      </c>
      <c r="F68" s="989">
        <f>-'IS Analysis Adjustments'!AP20</f>
        <v>0</v>
      </c>
    </row>
    <row r="69" spans="1:26" s="984" customFormat="1" ht="16.5" customHeight="1" x14ac:dyDescent="0.2">
      <c r="A69" s="983" t="s">
        <v>993</v>
      </c>
      <c r="B69" s="958"/>
      <c r="C69" s="990">
        <f>D69*0.5</f>
        <v>0</v>
      </c>
      <c r="D69" s="990">
        <f>E69</f>
        <v>0</v>
      </c>
      <c r="E69" s="990">
        <f>F69*2</f>
        <v>0</v>
      </c>
      <c r="F69" s="990">
        <f>-F68/F61*0.5</f>
        <v>0</v>
      </c>
    </row>
    <row r="70" spans="1:26" ht="16.5" customHeight="1" x14ac:dyDescent="0.2">
      <c r="A70" s="736" t="s">
        <v>994</v>
      </c>
      <c r="B70" s="995">
        <f>C70*0.5</f>
        <v>0</v>
      </c>
      <c r="C70" s="991">
        <f>D70</f>
        <v>0</v>
      </c>
      <c r="D70" s="996">
        <f>E70*2</f>
        <v>0</v>
      </c>
      <c r="E70" s="992">
        <f>-E68/E61*0.5</f>
        <v>0</v>
      </c>
      <c r="F70" s="738"/>
    </row>
    <row r="71" spans="1:26" ht="16.5" customHeight="1" x14ac:dyDescent="0.2">
      <c r="A71" s="736" t="s">
        <v>912</v>
      </c>
      <c r="B71" s="982">
        <f>C71</f>
        <v>0</v>
      </c>
      <c r="C71" s="982">
        <f>D71*2</f>
        <v>0</v>
      </c>
      <c r="D71" s="982">
        <f>-D68/D61*0.5</f>
        <v>0</v>
      </c>
      <c r="E71" s="738"/>
      <c r="F71" s="738"/>
    </row>
    <row r="72" spans="1:26" ht="16.5" customHeight="1" x14ac:dyDescent="0.2">
      <c r="A72" s="736" t="s">
        <v>911</v>
      </c>
      <c r="B72" s="993">
        <f>C72*2</f>
        <v>0</v>
      </c>
      <c r="C72" s="993">
        <f>-C68/C61*0.5</f>
        <v>0</v>
      </c>
      <c r="D72" s="738"/>
      <c r="E72" s="738"/>
      <c r="F72" s="738"/>
    </row>
    <row r="73" spans="1:26" s="948" customFormat="1" ht="16.5" customHeight="1" x14ac:dyDescent="0.2">
      <c r="A73" s="736" t="s">
        <v>907</v>
      </c>
      <c r="B73" s="994" t="e">
        <f>-B68/B61*0.5</f>
        <v>#VALUE!</v>
      </c>
      <c r="C73" s="957"/>
      <c r="D73" s="957"/>
      <c r="E73" s="957"/>
      <c r="F73" s="957"/>
    </row>
    <row r="74" spans="1:26" s="971" customFormat="1" ht="16.5" customHeight="1" x14ac:dyDescent="0.2">
      <c r="A74" s="966" t="s">
        <v>976</v>
      </c>
      <c r="B74" s="256" t="e">
        <f>ROUND(SUM(B69:B73),0)</f>
        <v>#VALUE!</v>
      </c>
      <c r="C74" s="256">
        <f>ROUND(SUM(C69:C73),0)</f>
        <v>0</v>
      </c>
      <c r="D74" s="256">
        <f>ROUND(SUM(D69:D73),0)</f>
        <v>0</v>
      </c>
      <c r="E74" s="256">
        <f>ROUND(SUM(E69:E73),0)</f>
        <v>0</v>
      </c>
      <c r="F74" s="256">
        <f>ROUND(SUM(F69:F73),0)</f>
        <v>0</v>
      </c>
    </row>
    <row r="75" spans="1:26" s="972" customFormat="1" ht="16.5" customHeight="1" x14ac:dyDescent="0.2">
      <c r="A75" s="960" t="s">
        <v>957</v>
      </c>
      <c r="B75" s="249" t="e">
        <f>B68+B74</f>
        <v>#VALUE!</v>
      </c>
      <c r="C75" s="249">
        <f>C68+C74</f>
        <v>0</v>
      </c>
      <c r="D75" s="249">
        <f>D68+D74</f>
        <v>0</v>
      </c>
      <c r="E75" s="249">
        <f>E68+E74</f>
        <v>0</v>
      </c>
      <c r="F75" s="249">
        <f>F68+F74</f>
        <v>0</v>
      </c>
    </row>
    <row r="76" spans="1:26" s="970" customFormat="1" ht="16.5" customHeight="1" x14ac:dyDescent="0.2">
      <c r="A76" s="973" t="s">
        <v>847</v>
      </c>
      <c r="B76" s="35" t="e">
        <f>ROUND(B75*B66,0)</f>
        <v>#VALUE!</v>
      </c>
      <c r="C76" s="35">
        <f>ROUND(C75*C66,0)</f>
        <v>0</v>
      </c>
      <c r="D76" s="35">
        <f>ROUND(D75*D66,0)</f>
        <v>0</v>
      </c>
      <c r="E76" s="35">
        <f>ROUND(E75*E66,0)</f>
        <v>0</v>
      </c>
      <c r="F76" s="35">
        <f>ROUND(F75*F66,0)</f>
        <v>0</v>
      </c>
    </row>
    <row r="77" spans="1:26" s="968" customFormat="1" ht="16.5" customHeight="1" thickBot="1" x14ac:dyDescent="0.25">
      <c r="A77" s="967" t="s">
        <v>848</v>
      </c>
      <c r="B77" s="962" t="e">
        <f>B75-B76</f>
        <v>#VALUE!</v>
      </c>
      <c r="C77" s="962">
        <f>C75-C76</f>
        <v>0</v>
      </c>
      <c r="D77" s="962">
        <f>D75-D76</f>
        <v>0</v>
      </c>
      <c r="E77" s="962">
        <f>E75-E76</f>
        <v>0</v>
      </c>
      <c r="F77" s="962">
        <f>F75-F76</f>
        <v>0</v>
      </c>
    </row>
    <row r="78" spans="1:26" s="1085" customFormat="1" ht="16.5" customHeight="1" x14ac:dyDescent="0.2">
      <c r="A78" s="857"/>
      <c r="B78" s="857"/>
      <c r="C78" s="857"/>
      <c r="D78" s="857"/>
      <c r="E78" s="857"/>
      <c r="F78" s="857"/>
      <c r="G78" s="1169"/>
      <c r="H78" s="1169"/>
      <c r="I78" s="1169"/>
      <c r="J78" s="1169"/>
      <c r="K78" s="1169"/>
      <c r="L78" s="1169"/>
      <c r="M78" s="1169"/>
      <c r="N78" s="1169"/>
      <c r="O78" s="1169"/>
      <c r="P78" s="1169"/>
      <c r="Q78" s="1169"/>
      <c r="R78" s="1169"/>
      <c r="S78" s="1169"/>
      <c r="T78" s="1169"/>
      <c r="U78" s="1169"/>
      <c r="V78" s="1169"/>
      <c r="W78" s="1169"/>
      <c r="X78" s="1169"/>
      <c r="Y78" s="1169"/>
      <c r="Z78" s="1169"/>
    </row>
    <row r="79" spans="1:26" s="819" customFormat="1" ht="16.5" customHeight="1" x14ac:dyDescent="0.2">
      <c r="A79" s="898" t="s">
        <v>891</v>
      </c>
    </row>
    <row r="80" spans="1:26" ht="16.5" customHeight="1" x14ac:dyDescent="0.2">
      <c r="A80" s="66" t="s">
        <v>977</v>
      </c>
      <c r="B80" s="66" t="e">
        <f>IF(B68&lt;0,-B68,0)</f>
        <v>#VALUE!</v>
      </c>
      <c r="C80" s="66">
        <f>IF(C68&lt;0,-C68,0)</f>
        <v>0</v>
      </c>
      <c r="D80" s="66">
        <f>IF(D68&lt;0,-D68,0)</f>
        <v>0</v>
      </c>
      <c r="E80" s="66">
        <f>IF(E68&lt;0,-E68,0)</f>
        <v>0</v>
      </c>
      <c r="F80" s="66">
        <f>IF(F68&lt;0,-F68,0)</f>
        <v>0</v>
      </c>
    </row>
    <row r="81" spans="1:6" ht="16.5" customHeight="1" x14ac:dyDescent="0.2">
      <c r="A81" s="66" t="s">
        <v>980</v>
      </c>
      <c r="B81" s="66" t="e">
        <f>IF(B74&lt;0,-B74,0)</f>
        <v>#VALUE!</v>
      </c>
      <c r="C81" s="66">
        <f>IF(C74&lt;0,-C74,0)</f>
        <v>0</v>
      </c>
      <c r="D81" s="66">
        <f>IF(D74&lt;0,-D74,0)</f>
        <v>0</v>
      </c>
      <c r="E81" s="66">
        <f>IF(E74&lt;0,-E74,0)</f>
        <v>0</v>
      </c>
      <c r="F81" s="66">
        <f>IF(F74&lt;0,-F74,0)</f>
        <v>0</v>
      </c>
    </row>
    <row r="82" spans="1:6" ht="16.5" customHeight="1" x14ac:dyDescent="0.2">
      <c r="A82" s="66" t="s">
        <v>903</v>
      </c>
      <c r="B82" s="66" t="e">
        <f t="shared" ref="B82:F83" si="1">IF(B76&gt;0,B76,0)</f>
        <v>#VALUE!</v>
      </c>
      <c r="C82" s="66">
        <f t="shared" si="1"/>
        <v>0</v>
      </c>
      <c r="D82" s="66">
        <f t="shared" si="1"/>
        <v>0</v>
      </c>
      <c r="E82" s="66">
        <f t="shared" si="1"/>
        <v>0</v>
      </c>
      <c r="F82" s="66">
        <f t="shared" si="1"/>
        <v>0</v>
      </c>
    </row>
    <row r="83" spans="1:6" ht="16.5" customHeight="1" x14ac:dyDescent="0.2">
      <c r="A83" s="66" t="s">
        <v>981</v>
      </c>
      <c r="B83" s="66" t="e">
        <f t="shared" si="1"/>
        <v>#VALUE!</v>
      </c>
      <c r="C83" s="66">
        <f t="shared" si="1"/>
        <v>0</v>
      </c>
      <c r="D83" s="66">
        <f t="shared" si="1"/>
        <v>0</v>
      </c>
      <c r="E83" s="66">
        <f t="shared" si="1"/>
        <v>0</v>
      </c>
      <c r="F83" s="66">
        <f t="shared" si="1"/>
        <v>0</v>
      </c>
    </row>
    <row r="84" spans="1:6" ht="16.5" customHeight="1" x14ac:dyDescent="0.2">
      <c r="A84" s="66" t="s">
        <v>839</v>
      </c>
      <c r="B84" s="66" t="e">
        <f>IF(B77&lt;0,B77,0)</f>
        <v>#VALUE!</v>
      </c>
      <c r="C84" s="66">
        <f>IF(C77&lt;0,C77,0)</f>
        <v>0</v>
      </c>
      <c r="D84" s="66">
        <f>IF(D77&lt;0,D77,0)</f>
        <v>0</v>
      </c>
      <c r="E84" s="66">
        <f>IF(E77&lt;0,E77,0)</f>
        <v>0</v>
      </c>
      <c r="F84" s="66">
        <f>IF(F77&lt;0,F77,0)</f>
        <v>0</v>
      </c>
    </row>
    <row r="85" spans="1:6" ht="16.5" customHeight="1" x14ac:dyDescent="0.2">
      <c r="A85" s="66" t="s">
        <v>840</v>
      </c>
      <c r="B85" s="66" t="e">
        <f>IF(B76&lt;0,B76,0)</f>
        <v>#VALUE!</v>
      </c>
      <c r="C85" s="66">
        <f>IF(C76&lt;0,C76,0)</f>
        <v>0</v>
      </c>
      <c r="D85" s="66">
        <f>IF(D76&lt;0,D76,0)</f>
        <v>0</v>
      </c>
      <c r="E85" s="66">
        <f>IF(E76&lt;0,E76,0)</f>
        <v>0</v>
      </c>
      <c r="F85" s="66">
        <f>IF(F76&lt;0,F76,0)</f>
        <v>0</v>
      </c>
    </row>
    <row r="86" spans="1:6" ht="16.5" customHeight="1" x14ac:dyDescent="0.2">
      <c r="A86" s="32" t="s">
        <v>982</v>
      </c>
      <c r="B86" s="66" t="e">
        <f>IF(B74&gt;0,-B74,0)</f>
        <v>#VALUE!</v>
      </c>
      <c r="C86" s="66">
        <f>IF(C74&gt;0,-C74,0)</f>
        <v>0</v>
      </c>
      <c r="D86" s="66">
        <f>IF(D74&gt;0,-D74,0)</f>
        <v>0</v>
      </c>
      <c r="E86" s="66">
        <f>IF(E74&gt;0,-E74,0)</f>
        <v>0</v>
      </c>
      <c r="F86" s="66">
        <f>IF(F74&gt;0,-F74,0)</f>
        <v>0</v>
      </c>
    </row>
    <row r="87" spans="1:6" ht="16.5" customHeight="1" x14ac:dyDescent="0.2">
      <c r="A87" s="32" t="s">
        <v>978</v>
      </c>
      <c r="B87" s="32" t="e">
        <f>IF(B68&gt;0,-B68,0)</f>
        <v>#VALUE!</v>
      </c>
      <c r="C87" s="32">
        <f>IF(C68&gt;0,-C68,0)</f>
        <v>0</v>
      </c>
      <c r="D87" s="32">
        <f>IF(D68&gt;0,-D68,0)</f>
        <v>0</v>
      </c>
      <c r="E87" s="32">
        <f>IF(E68&gt;0,-E68,0)</f>
        <v>0</v>
      </c>
      <c r="F87" s="32">
        <f>IF(F68&gt;0,-F68,0)</f>
        <v>0</v>
      </c>
    </row>
    <row r="88" spans="1:6" s="968" customFormat="1" ht="16.5" customHeight="1" thickBot="1" x14ac:dyDescent="0.25">
      <c r="A88" s="890" t="s">
        <v>817</v>
      </c>
      <c r="B88" s="969" t="e">
        <f>SUM(B80:B87)</f>
        <v>#VALUE!</v>
      </c>
      <c r="C88" s="969">
        <f>SUM(C80:C87)</f>
        <v>0</v>
      </c>
      <c r="D88" s="969">
        <f>SUM(D80:D87)</f>
        <v>0</v>
      </c>
      <c r="E88" s="969">
        <f>SUM(E80:E87)</f>
        <v>0</v>
      </c>
      <c r="F88" s="969">
        <f>SUM(F80:F87)</f>
        <v>0</v>
      </c>
    </row>
    <row r="89" spans="1:6" s="683" customFormat="1" ht="16.5" customHeight="1" x14ac:dyDescent="0.2">
      <c r="A89" s="677"/>
      <c r="B89" s="978"/>
      <c r="C89" s="978"/>
      <c r="D89" s="978"/>
      <c r="E89" s="978"/>
      <c r="F89" s="978"/>
    </row>
    <row r="90" spans="1:6" s="682" customFormat="1" ht="16.5" customHeight="1" x14ac:dyDescent="0.2"/>
    <row r="91" spans="1:6" s="682" customFormat="1" ht="16.5" customHeight="1" x14ac:dyDescent="0.2"/>
    <row r="92" spans="1:6" s="682" customFormat="1" ht="16.5" customHeight="1" x14ac:dyDescent="0.2"/>
    <row r="93" spans="1:6" s="682" customFormat="1" ht="16.5" customHeight="1" x14ac:dyDescent="0.2"/>
    <row r="94" spans="1:6" s="682" customFormat="1" ht="16.5" customHeight="1" x14ac:dyDescent="0.2"/>
    <row r="95" spans="1:6" s="682" customFormat="1" ht="16.5" customHeight="1" x14ac:dyDescent="0.2"/>
    <row r="96" spans="1:6" s="682" customFormat="1" ht="16.5" customHeight="1" x14ac:dyDescent="0.2"/>
    <row r="97" s="682" customFormat="1" ht="16.5" customHeight="1" x14ac:dyDescent="0.2"/>
    <row r="98" s="682" customFormat="1" ht="16.5" customHeight="1" x14ac:dyDescent="0.2"/>
    <row r="99" s="682" customFormat="1" ht="16.5" customHeight="1" x14ac:dyDescent="0.2"/>
    <row r="100" s="682" customFormat="1" ht="16.5" customHeight="1" x14ac:dyDescent="0.2"/>
    <row r="101" s="682" customFormat="1" ht="16.5" customHeight="1" x14ac:dyDescent="0.2"/>
    <row r="102" s="682" customFormat="1" ht="16.5" customHeight="1" x14ac:dyDescent="0.2"/>
    <row r="103" s="682" customFormat="1" ht="16.5" customHeight="1" x14ac:dyDescent="0.2"/>
    <row r="104" s="682" customFormat="1" ht="16.5" customHeight="1" x14ac:dyDescent="0.2"/>
    <row r="105" s="682" customFormat="1" ht="16.5" customHeight="1" x14ac:dyDescent="0.2"/>
  </sheetData>
  <phoneticPr fontId="137" type="noConversion"/>
  <pageMargins left="0.7" right="0.7" top="0.75" bottom="0.75" header="0.3" footer="0.3"/>
  <ignoredErrors>
    <ignoredError sqref="B38:F38" formula="1"/>
  </ignoredErrors>
  <drawing r:id="rId1"/>
  <legacyDrawing r:id="rId2"/>
  <extLst>
    <ext xmlns:mx="http://schemas.microsoft.com/office/mac/excel/2008/main" uri="http://schemas.microsoft.com/office/mac/excel/2008/main">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00"/>
  </sheetPr>
  <dimension ref="A1:Z304"/>
  <sheetViews>
    <sheetView zoomScaleSheetLayoutView="100" workbookViewId="0">
      <selection activeCell="B54" sqref="B54"/>
    </sheetView>
  </sheetViews>
  <sheetFormatPr defaultColWidth="9.140625" defaultRowHeight="16.5" customHeight="1" x14ac:dyDescent="0.2"/>
  <cols>
    <col min="1" max="1" width="43.42578125" style="771" customWidth="1"/>
    <col min="2" max="2" width="8.42578125" style="772" bestFit="1" customWidth="1"/>
    <col min="3" max="6" width="8.42578125" style="772" customWidth="1"/>
    <col min="7" max="7" width="9.5703125" style="773" bestFit="1" customWidth="1"/>
    <col min="8" max="8" width="2.5703125" style="773" customWidth="1"/>
    <col min="9" max="9" width="9.140625" style="773"/>
    <col min="10" max="10" width="9.140625" style="768"/>
    <col min="11" max="11" width="60.5703125" style="688" customWidth="1"/>
    <col min="12" max="12" width="8.5703125" style="1223" customWidth="1"/>
    <col min="13" max="26" width="8.5703125" style="1169" customWidth="1"/>
    <col min="27" max="256" width="8.5703125" style="688" customWidth="1"/>
    <col min="257" max="16384" width="9.140625" style="688"/>
  </cols>
  <sheetData>
    <row r="1" spans="1:26" ht="16.5" customHeight="1" x14ac:dyDescent="0.2">
      <c r="L1" s="1223"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3" spans="1:26" s="777" customFormat="1" ht="16.5" customHeight="1" x14ac:dyDescent="0.2">
      <c r="A3" s="808" t="s">
        <v>362</v>
      </c>
      <c r="B3" s="774"/>
      <c r="C3" s="774"/>
      <c r="D3" s="774"/>
      <c r="E3" s="774"/>
      <c r="F3" s="774"/>
      <c r="G3" s="775"/>
      <c r="H3" s="775"/>
      <c r="I3" s="775"/>
      <c r="J3" s="776"/>
    </row>
    <row r="4" spans="1:26" ht="16.5" customHeight="1" x14ac:dyDescent="0.2">
      <c r="A4" s="688"/>
      <c r="J4" s="688"/>
      <c r="K4" s="1331" t="s">
        <v>913</v>
      </c>
    </row>
    <row r="5" spans="1:26" ht="16.5" customHeight="1" x14ac:dyDescent="0.2">
      <c r="A5" s="688"/>
      <c r="B5" s="416" t="s">
        <v>478</v>
      </c>
      <c r="C5" s="57"/>
      <c r="D5" s="57"/>
      <c r="E5" s="57"/>
      <c r="F5" s="57"/>
      <c r="G5" s="175" t="s">
        <v>204</v>
      </c>
      <c r="J5" s="688"/>
      <c r="K5" s="1332"/>
    </row>
    <row r="6" spans="1:26" ht="16.5" customHeight="1" x14ac:dyDescent="0.2">
      <c r="A6" s="246" t="s">
        <v>241</v>
      </c>
      <c r="B6" s="58">
        <f>'IS Analysis Adjustments'!B1</f>
        <v>2011</v>
      </c>
      <c r="C6" s="58">
        <f>B6+1</f>
        <v>2012</v>
      </c>
      <c r="D6" s="58">
        <f>C6+1</f>
        <v>2013</v>
      </c>
      <c r="E6" s="58">
        <f>D6+1</f>
        <v>2014</v>
      </c>
      <c r="F6" s="58">
        <f>E6+1</f>
        <v>2015</v>
      </c>
      <c r="G6" s="415">
        <f>F6+1</f>
        <v>2016</v>
      </c>
      <c r="J6" s="688"/>
      <c r="K6" s="857"/>
    </row>
    <row r="7" spans="1:26" s="720" customFormat="1" ht="16.5" customHeight="1" x14ac:dyDescent="0.2">
      <c r="A7" s="228" t="s">
        <v>496</v>
      </c>
      <c r="B7" s="228">
        <f>'Common-size FS'!C104</f>
        <v>683</v>
      </c>
      <c r="C7" s="228">
        <f>'Common-size FS'!D104</f>
        <v>735</v>
      </c>
      <c r="D7" s="228">
        <f>'Common-size FS'!E104</f>
        <v>734</v>
      </c>
      <c r="E7" s="228">
        <f>'Common-size FS'!F104</f>
        <v>720</v>
      </c>
      <c r="F7" s="228">
        <f>'Common-size FS'!G104</f>
        <v>600</v>
      </c>
      <c r="G7" s="602">
        <f>'Projected FS'!G117</f>
        <v>520</v>
      </c>
      <c r="H7" s="779"/>
      <c r="L7" s="1223"/>
    </row>
    <row r="8" spans="1:26" s="716" customFormat="1" ht="15" customHeight="1" x14ac:dyDescent="0.2">
      <c r="A8" s="421" t="s">
        <v>360</v>
      </c>
      <c r="B8" s="682"/>
      <c r="C8" s="682"/>
      <c r="D8" s="682"/>
      <c r="E8" s="682"/>
      <c r="F8" s="682"/>
      <c r="G8" s="780"/>
      <c r="H8" s="780"/>
      <c r="L8" s="682"/>
    </row>
    <row r="9" spans="1:26" ht="16.5" customHeight="1" x14ac:dyDescent="0.2">
      <c r="A9" s="769" t="s">
        <v>229</v>
      </c>
      <c r="B9" s="81">
        <f>'Common-size FS'!C106</f>
        <v>325</v>
      </c>
      <c r="C9" s="81">
        <f>'Common-size FS'!D106</f>
        <v>366</v>
      </c>
      <c r="D9" s="81">
        <f>'Common-size FS'!E106</f>
        <v>396</v>
      </c>
      <c r="E9" s="81">
        <f>'Common-size FS'!F106</f>
        <v>432</v>
      </c>
      <c r="F9" s="81">
        <f>'Common-size FS'!G106</f>
        <v>497</v>
      </c>
      <c r="G9" s="809">
        <f>'Projected FS'!G119</f>
        <v>810</v>
      </c>
      <c r="H9" s="768"/>
      <c r="J9" s="688"/>
      <c r="K9" s="677"/>
    </row>
    <row r="10" spans="1:26" s="677" customFormat="1" ht="16.899999999999999" customHeight="1" x14ac:dyDescent="0.2">
      <c r="A10" s="2" t="s">
        <v>230</v>
      </c>
      <c r="B10" s="2">
        <f t="shared" ref="B10:G10" si="0">SUM(B7:B9)</f>
        <v>1008</v>
      </c>
      <c r="C10" s="2">
        <f t="shared" si="0"/>
        <v>1101</v>
      </c>
      <c r="D10" s="2">
        <f t="shared" si="0"/>
        <v>1130</v>
      </c>
      <c r="E10" s="2">
        <f t="shared" si="0"/>
        <v>1152</v>
      </c>
      <c r="F10" s="2">
        <f t="shared" si="0"/>
        <v>1097</v>
      </c>
      <c r="G10" s="2">
        <f t="shared" si="0"/>
        <v>1330</v>
      </c>
      <c r="H10" s="786"/>
    </row>
    <row r="11" spans="1:26" s="677" customFormat="1" ht="16.899999999999999" customHeight="1" x14ac:dyDescent="0.2">
      <c r="A11" s="1199" t="str">
        <f>'Common-size FS'!A107</f>
        <v>Stock-based compensation expense</v>
      </c>
      <c r="B11" s="2">
        <f>'Common-size FS'!C107</f>
        <v>48</v>
      </c>
      <c r="C11" s="2">
        <f>'Common-size FS'!D107</f>
        <v>52</v>
      </c>
      <c r="D11" s="2">
        <f>'Common-size FS'!E107</f>
        <v>56</v>
      </c>
      <c r="E11" s="2">
        <f>'Common-size FS'!F107</f>
        <v>66</v>
      </c>
      <c r="F11" s="2">
        <f>'Common-size FS'!G107</f>
        <v>70</v>
      </c>
      <c r="G11" s="2">
        <f>'Projected FS'!G120</f>
        <v>77</v>
      </c>
      <c r="H11" s="786"/>
    </row>
    <row r="12" spans="1:26" s="682" customFormat="1" ht="16.5" customHeight="1" x14ac:dyDescent="0.2">
      <c r="A12" s="32" t="str">
        <f>'Common-size FS'!A108</f>
        <v>Gain (loss) on spin-off of subsidiary</v>
      </c>
      <c r="B12" s="32">
        <f>'Common-size FS'!C108</f>
        <v>0</v>
      </c>
      <c r="C12" s="32">
        <f>'Common-size FS'!D108</f>
        <v>0</v>
      </c>
      <c r="D12" s="32">
        <f>'Common-size FS'!E108</f>
        <v>0</v>
      </c>
      <c r="E12" s="32">
        <f>'Common-size FS'!F108</f>
        <v>0</v>
      </c>
      <c r="F12" s="32">
        <f>'Common-size FS'!G108</f>
        <v>0</v>
      </c>
      <c r="G12" s="1336"/>
      <c r="H12" s="781"/>
      <c r="I12" s="782"/>
    </row>
    <row r="13" spans="1:26" s="682" customFormat="1" ht="16.5" customHeight="1" x14ac:dyDescent="0.2">
      <c r="A13" s="32" t="str">
        <f>'Common-size FS'!A109</f>
        <v>Gain (loss) on debt restruct/early extinguish</v>
      </c>
      <c r="B13" s="32">
        <f>'Common-size FS'!C109</f>
        <v>0</v>
      </c>
      <c r="C13" s="32">
        <f>'Common-size FS'!D109</f>
        <v>0</v>
      </c>
      <c r="D13" s="32">
        <f>'Common-size FS'!E109</f>
        <v>0</v>
      </c>
      <c r="E13" s="32">
        <f>'Common-size FS'!F109</f>
        <v>0</v>
      </c>
      <c r="F13" s="32">
        <f>'Common-size FS'!G109</f>
        <v>0</v>
      </c>
      <c r="G13" s="1337"/>
      <c r="H13" s="781"/>
      <c r="I13" s="782"/>
    </row>
    <row r="14" spans="1:26" s="682" customFormat="1" ht="16.5" customHeight="1" x14ac:dyDescent="0.2">
      <c r="A14" s="32" t="str">
        <f>'Common-size FS'!A110</f>
        <v>Gain (loss) on disposal of invest sec's AFS</v>
      </c>
      <c r="B14" s="32">
        <f>'Common-size FS'!C110</f>
        <v>0</v>
      </c>
      <c r="C14" s="32">
        <f>'Common-size FS'!D110</f>
        <v>0</v>
      </c>
      <c r="D14" s="32">
        <f>'Common-size FS'!E110</f>
        <v>0</v>
      </c>
      <c r="E14" s="32">
        <f>'Common-size FS'!F110</f>
        <v>0</v>
      </c>
      <c r="F14" s="32">
        <f>'Common-size FS'!G110</f>
        <v>0</v>
      </c>
      <c r="G14" s="1337"/>
      <c r="H14" s="781"/>
      <c r="I14" s="782"/>
    </row>
    <row r="15" spans="1:26" s="682" customFormat="1" ht="16.5" customHeight="1" x14ac:dyDescent="0.2">
      <c r="A15" s="32" t="str">
        <f>'Common-size FS'!A111</f>
        <v>Gain (loss) on disposal of PP&amp;E</v>
      </c>
      <c r="B15" s="32">
        <f>'Common-size FS'!C111</f>
        <v>0</v>
      </c>
      <c r="C15" s="32">
        <f>'Common-size FS'!D111</f>
        <v>0</v>
      </c>
      <c r="D15" s="32">
        <f>'Common-size FS'!E111</f>
        <v>0</v>
      </c>
      <c r="E15" s="32">
        <f>'Common-size FS'!F111</f>
        <v>0</v>
      </c>
      <c r="F15" s="32">
        <f>'Common-size FS'!G111</f>
        <v>0</v>
      </c>
      <c r="G15" s="1337"/>
      <c r="H15" s="781"/>
      <c r="I15" s="782"/>
    </row>
    <row r="16" spans="1:26" s="682" customFormat="1" ht="16.5" customHeight="1" x14ac:dyDescent="0.2">
      <c r="A16" s="32" t="str">
        <f>'Common-size FS'!A112</f>
        <v>Bad Debt Provision</v>
      </c>
      <c r="B16" s="32">
        <f>'Common-size FS'!C112</f>
        <v>101</v>
      </c>
      <c r="C16" s="32">
        <f>'Common-size FS'!D112</f>
        <v>56</v>
      </c>
      <c r="D16" s="32">
        <f>'Common-size FS'!E112</f>
        <v>52</v>
      </c>
      <c r="E16" s="32">
        <f>'Common-size FS'!F112</f>
        <v>41</v>
      </c>
      <c r="F16" s="32">
        <f>'Common-size FS'!G112</f>
        <v>26</v>
      </c>
      <c r="G16" s="1337"/>
      <c r="H16" s="781"/>
      <c r="I16" s="782"/>
    </row>
    <row r="17" spans="1:12" s="682" customFormat="1" ht="16.5" customHeight="1" x14ac:dyDescent="0.2">
      <c r="A17" s="32" t="str">
        <f>'Common-size FS'!A113</f>
        <v>Impairment loss on goodwill</v>
      </c>
      <c r="B17" s="32">
        <f>'Common-size FS'!C113</f>
        <v>0</v>
      </c>
      <c r="C17" s="32">
        <f>'Common-size FS'!D113</f>
        <v>0</v>
      </c>
      <c r="D17" s="32">
        <f>'Common-size FS'!E113</f>
        <v>0</v>
      </c>
      <c r="E17" s="32">
        <f>'Common-size FS'!F113</f>
        <v>0</v>
      </c>
      <c r="F17" s="32">
        <f>'Common-size FS'!G113</f>
        <v>0</v>
      </c>
      <c r="G17" s="1337"/>
      <c r="H17" s="781"/>
      <c r="I17" s="782"/>
    </row>
    <row r="18" spans="1:12" s="682" customFormat="1" ht="16.5" customHeight="1" x14ac:dyDescent="0.2">
      <c r="A18" s="32" t="str">
        <f>'Common-size FS'!A114</f>
        <v>Impairment of other intangibles</v>
      </c>
      <c r="B18" s="32">
        <f>'Common-size FS'!C114</f>
        <v>0</v>
      </c>
      <c r="C18" s="32">
        <f>'Common-size FS'!D114</f>
        <v>0</v>
      </c>
      <c r="D18" s="32">
        <f>'Common-size FS'!E114</f>
        <v>0</v>
      </c>
      <c r="E18" s="32">
        <f>'Common-size FS'!F114</f>
        <v>0</v>
      </c>
      <c r="F18" s="32">
        <f>'Common-size FS'!G114</f>
        <v>0</v>
      </c>
      <c r="G18" s="1338"/>
      <c r="H18" s="781"/>
      <c r="I18" s="782"/>
    </row>
    <row r="19" spans="1:12" s="682" customFormat="1" ht="16.5" customHeight="1" x14ac:dyDescent="0.2">
      <c r="A19" s="32" t="str">
        <f>'Common-size FS'!A115</f>
        <v>Restructuring charge</v>
      </c>
      <c r="B19" s="32">
        <f>'Common-size FS'!C115</f>
        <v>0</v>
      </c>
      <c r="C19" s="32">
        <f>'Common-size FS'!D115</f>
        <v>0</v>
      </c>
      <c r="D19" s="32">
        <f>'Common-size FS'!E115</f>
        <v>0</v>
      </c>
      <c r="E19" s="32">
        <f>'Common-size FS'!F115</f>
        <v>0</v>
      </c>
      <c r="F19" s="32">
        <f>'Common-size FS'!G115</f>
        <v>0</v>
      </c>
      <c r="G19" s="32">
        <f>'Projected FS'!G121</f>
        <v>0</v>
      </c>
      <c r="H19" s="781"/>
      <c r="I19" s="782"/>
    </row>
    <row r="20" spans="1:12" s="821" customFormat="1" ht="16.5" customHeight="1" x14ac:dyDescent="0.2">
      <c r="A20" s="815" t="s">
        <v>706</v>
      </c>
      <c r="B20" s="816"/>
      <c r="C20" s="816"/>
      <c r="D20" s="816"/>
      <c r="E20" s="816"/>
      <c r="F20" s="816"/>
      <c r="G20" s="817">
        <f>'Projected FS'!G122</f>
        <v>358</v>
      </c>
      <c r="H20" s="822"/>
      <c r="I20" s="831"/>
    </row>
    <row r="21" spans="1:12" s="821" customFormat="1" ht="16.5" customHeight="1" x14ac:dyDescent="0.2">
      <c r="A21" s="723" t="str">
        <f>'Common-size FS'!A117</f>
        <v xml:space="preserve">   AR, net</v>
      </c>
      <c r="B21" s="723">
        <f>'Common-size FS'!C117</f>
        <v>-98</v>
      </c>
      <c r="C21" s="723">
        <f>'Common-size FS'!D117</f>
        <v>-113</v>
      </c>
      <c r="D21" s="723">
        <f>'Common-size FS'!E117</f>
        <v>-93</v>
      </c>
      <c r="E21" s="723">
        <f>'Common-size FS'!F117</f>
        <v>-161</v>
      </c>
      <c r="F21" s="723">
        <f>'Common-size FS'!G117</f>
        <v>1241</v>
      </c>
      <c r="G21" s="1333"/>
      <c r="I21" s="831"/>
    </row>
    <row r="22" spans="1:12" s="821" customFormat="1" ht="16.5" customHeight="1" x14ac:dyDescent="0.2">
      <c r="A22" s="723" t="str">
        <f>'Common-size FS'!A118</f>
        <v xml:space="preserve">   Inventories</v>
      </c>
      <c r="B22" s="723">
        <f>'Common-size FS'!C118</f>
        <v>-137</v>
      </c>
      <c r="C22" s="723">
        <f>'Common-size FS'!D118</f>
        <v>-170</v>
      </c>
      <c r="D22" s="723">
        <f>'Common-size FS'!E118</f>
        <v>-157</v>
      </c>
      <c r="E22" s="723">
        <f>'Common-size FS'!F118</f>
        <v>-176</v>
      </c>
      <c r="F22" s="723">
        <f>'Common-size FS'!G118</f>
        <v>-203</v>
      </c>
      <c r="G22" s="1334"/>
      <c r="I22" s="831"/>
    </row>
    <row r="23" spans="1:12" s="821" customFormat="1" ht="16.5" customHeight="1" x14ac:dyDescent="0.2">
      <c r="A23" s="723" t="str">
        <f>'Common-size FS'!A119</f>
        <v xml:space="preserve">   DIT assets</v>
      </c>
      <c r="B23" s="723">
        <f>'Common-size FS'!C119</f>
        <v>14</v>
      </c>
      <c r="C23" s="723">
        <f>'Common-size FS'!D119</f>
        <v>22</v>
      </c>
      <c r="D23" s="723">
        <f>'Common-size FS'!E119</f>
        <v>12</v>
      </c>
      <c r="E23" s="723">
        <f>'Common-size FS'!F119</f>
        <v>7</v>
      </c>
      <c r="F23" s="723">
        <f>'Common-size FS'!G119</f>
        <v>142</v>
      </c>
      <c r="G23" s="1334"/>
      <c r="I23" s="831"/>
    </row>
    <row r="24" spans="1:12" s="821" customFormat="1" ht="16.5" customHeight="1" x14ac:dyDescent="0.2">
      <c r="A24" s="723" t="str">
        <f>'Common-size FS'!A120</f>
        <v xml:space="preserve">   Other current assets</v>
      </c>
      <c r="B24" s="723">
        <f>'Common-size FS'!C120</f>
        <v>0</v>
      </c>
      <c r="C24" s="723">
        <f>'Common-size FS'!D120</f>
        <v>5</v>
      </c>
      <c r="D24" s="723">
        <f>'Common-size FS'!E120</f>
        <v>-6</v>
      </c>
      <c r="E24" s="723">
        <f>'Common-size FS'!F120</f>
        <v>-4</v>
      </c>
      <c r="F24" s="723">
        <f>'Common-size FS'!G120</f>
        <v>-126</v>
      </c>
      <c r="G24" s="1334"/>
      <c r="I24" s="831"/>
    </row>
    <row r="25" spans="1:12" s="821" customFormat="1" ht="16.5" customHeight="1" x14ac:dyDescent="0.2">
      <c r="A25" s="723" t="str">
        <f>'Common-size FS'!A121</f>
        <v xml:space="preserve">   AP</v>
      </c>
      <c r="B25" s="723">
        <f>'Common-size FS'!C121</f>
        <v>54</v>
      </c>
      <c r="C25" s="723">
        <f>'Common-size FS'!D121</f>
        <v>48</v>
      </c>
      <c r="D25" s="723">
        <f>'Common-size FS'!E121</f>
        <v>167</v>
      </c>
      <c r="E25" s="723">
        <f>'Common-size FS'!F121</f>
        <v>15</v>
      </c>
      <c r="F25" s="723">
        <f>'Common-size FS'!G121</f>
        <v>-2</v>
      </c>
      <c r="G25" s="1334"/>
      <c r="I25" s="831"/>
    </row>
    <row r="26" spans="1:12" s="821" customFormat="1" ht="16.5" customHeight="1" x14ac:dyDescent="0.2">
      <c r="A26" s="723" t="str">
        <f>'Common-size FS'!A122</f>
        <v xml:space="preserve">   Accrued liabilities</v>
      </c>
      <c r="B26" s="723">
        <f>'Common-size FS'!C122</f>
        <v>6</v>
      </c>
      <c r="C26" s="723">
        <f>'Common-size FS'!D122</f>
        <v>13</v>
      </c>
      <c r="D26" s="723">
        <f>'Common-size FS'!E122</f>
        <v>-12</v>
      </c>
      <c r="E26" s="723">
        <f>'Common-size FS'!F122</f>
        <v>18</v>
      </c>
      <c r="F26" s="723">
        <f>'Common-size FS'!G122</f>
        <v>-2</v>
      </c>
      <c r="G26" s="1334"/>
      <c r="I26" s="831"/>
    </row>
    <row r="27" spans="1:12" s="821" customFormat="1" ht="16.5" customHeight="1" x14ac:dyDescent="0.2">
      <c r="A27" s="723" t="str">
        <f>'Common-size FS'!A123</f>
        <v xml:space="preserve">   Income taxes payable</v>
      </c>
      <c r="B27" s="723">
        <f>'Common-size FS'!C123</f>
        <v>0</v>
      </c>
      <c r="C27" s="723">
        <f>'Common-size FS'!D123</f>
        <v>0</v>
      </c>
      <c r="D27" s="723">
        <f>'Common-size FS'!E123</f>
        <v>0</v>
      </c>
      <c r="E27" s="723">
        <f>'Common-size FS'!F123</f>
        <v>0</v>
      </c>
      <c r="F27" s="723">
        <f>'Common-size FS'!G123</f>
        <v>0</v>
      </c>
      <c r="G27" s="1334"/>
      <c r="I27" s="831"/>
    </row>
    <row r="28" spans="1:12" s="821" customFormat="1" ht="16.5" customHeight="1" x14ac:dyDescent="0.2">
      <c r="A28" s="723" t="str">
        <f>'Common-size FS'!A124</f>
        <v xml:space="preserve">   DIT liabilities–current</v>
      </c>
      <c r="B28" s="723">
        <f>'Common-size FS'!C124</f>
        <v>78</v>
      </c>
      <c r="C28" s="723">
        <f>'Common-size FS'!D124</f>
        <v>58</v>
      </c>
      <c r="D28" s="723">
        <f>'Common-size FS'!E124</f>
        <v>89</v>
      </c>
      <c r="E28" s="723">
        <f>'Common-size FS'!F124</f>
        <v>110</v>
      </c>
      <c r="F28" s="723">
        <f>'Common-size FS'!G124</f>
        <v>156</v>
      </c>
      <c r="G28" s="1335"/>
      <c r="I28" s="831"/>
    </row>
    <row r="29" spans="1:12" ht="16.5" customHeight="1" x14ac:dyDescent="0.2">
      <c r="A29" s="81" t="s">
        <v>326</v>
      </c>
      <c r="B29" s="81">
        <f>'Common-size FS'!C125</f>
        <v>103</v>
      </c>
      <c r="C29" s="81">
        <f>'Common-size FS'!D125</f>
        <v>38</v>
      </c>
      <c r="D29" s="81">
        <f>'Common-size FS'!E125</f>
        <v>82</v>
      </c>
      <c r="E29" s="81">
        <f>'Common-size FS'!F125</f>
        <v>152</v>
      </c>
      <c r="F29" s="81">
        <f>'Common-size FS'!G125</f>
        <v>52</v>
      </c>
      <c r="G29" s="1221">
        <f>ROUND(AVERAGE(B29:F29),-1)</f>
        <v>90</v>
      </c>
      <c r="H29" s="677"/>
      <c r="J29" s="688"/>
    </row>
    <row r="30" spans="1:12" s="790" customFormat="1" ht="16.5" customHeight="1" x14ac:dyDescent="0.2">
      <c r="A30" s="824" t="s">
        <v>361</v>
      </c>
      <c r="B30" s="824">
        <f t="shared" ref="B30:F30" si="1">SUM(B10:B29)</f>
        <v>1177</v>
      </c>
      <c r="C30" s="824">
        <f t="shared" si="1"/>
        <v>1110</v>
      </c>
      <c r="D30" s="824">
        <f t="shared" si="1"/>
        <v>1320</v>
      </c>
      <c r="E30" s="824">
        <f t="shared" si="1"/>
        <v>1220</v>
      </c>
      <c r="F30" s="824">
        <f t="shared" si="1"/>
        <v>2451</v>
      </c>
      <c r="G30" s="824">
        <f>SUM(G10:G29)</f>
        <v>1855</v>
      </c>
      <c r="K30" s="1325" t="s">
        <v>1062</v>
      </c>
      <c r="L30" s="677"/>
    </row>
    <row r="31" spans="1:12" s="827" customFormat="1" ht="16.5" customHeight="1" thickBot="1" x14ac:dyDescent="0.25">
      <c r="A31" s="825" t="s">
        <v>231</v>
      </c>
      <c r="B31" s="825">
        <f t="shared" ref="B31:G31" si="2">IF(B30&gt;0,IF(B10&gt;0,B30/B10,"NM"),IF(B10&gt;0,B30/B10,-B30/B10))</f>
        <v>1.1676587301587302</v>
      </c>
      <c r="C31" s="825">
        <f t="shared" si="2"/>
        <v>1.0081743869209809</v>
      </c>
      <c r="D31" s="825">
        <f t="shared" si="2"/>
        <v>1.168141592920354</v>
      </c>
      <c r="E31" s="825">
        <f t="shared" si="2"/>
        <v>1.0590277777777777</v>
      </c>
      <c r="F31" s="825">
        <f t="shared" si="2"/>
        <v>2.2342752962625343</v>
      </c>
      <c r="G31" s="825">
        <f t="shared" si="2"/>
        <v>1.3947368421052631</v>
      </c>
      <c r="H31" s="826"/>
      <c r="J31" s="828"/>
      <c r="K31" s="1326"/>
      <c r="L31" s="677"/>
    </row>
    <row r="32" spans="1:12" s="677" customFormat="1" ht="16.5" customHeight="1" thickBot="1" x14ac:dyDescent="0.25">
      <c r="A32" s="829" t="s">
        <v>232</v>
      </c>
      <c r="B32" s="830">
        <f>IF(SUM($B30:B30)&gt;0,IF(SUM($B10:B10)&gt;0,SUM($B30:B30)/SUM($B10:B10),"NM"),IF(SUM($B10:B10)&gt;0,SUM($B30:B30)/SUM($B10:B10),-SUM($B30:B30)/SUM($B10:B10)))</f>
        <v>1.1676587301587302</v>
      </c>
      <c r="C32" s="830">
        <f>IF(SUM($B30:C30)&gt;0,IF(SUM($B10:C10)&gt;0,SUM($B30:C30)/SUM($B10:C10),"NM"),IF(SUM($B10:C10)&gt;0,SUM($B30:C30)/SUM($B10:C10),-SUM($B30:C30)/SUM($B10:C10)))</f>
        <v>1.0844001896633475</v>
      </c>
      <c r="D32" s="830">
        <f>IF(SUM($B30:D30)&gt;0,IF(SUM($B10:D10)&gt;0,SUM($B30:D30)/SUM($B10:D10),"NM"),IF(SUM($B10:D10)&gt;0,SUM($B30:D30)/SUM($B10:D10),-SUM($B30:D30)/SUM($B10:D10)))</f>
        <v>1.1136153133683235</v>
      </c>
      <c r="E32" s="830">
        <f>IF(SUM($B30:E30)&gt;0,IF(SUM($B10:E10)&gt;0,SUM($B30:E30)/SUM($B10:E10),"NM"),IF(SUM($B10:E10)&gt;0,SUM($B30:E30)/SUM($B10:E10),-SUM($B30:E30)/SUM($B10:E10)))</f>
        <v>1.0992940104759736</v>
      </c>
      <c r="F32" s="830">
        <f>IF(SUM($B30:F30)&gt;0,IF(SUM($B10:F10)&gt;0,SUM($B30:F30)/SUM($B10:F10),"NM"),IF(SUM($B10:F10)&gt;0,SUM($B30:F30)/SUM($B10:F10),-SUM($B30:F30)/SUM($B10:F10)))</f>
        <v>1.3261661807580174</v>
      </c>
      <c r="G32" s="830">
        <f>IF(SUM($B30:H30)&gt;0,IF(SUM($B10:H10)&gt;0,SUM($B30:H30)/SUM($B10:H10),"NM"),IF(SUM($B10:H10)&gt;0,SUM($B30:H30)/SUM($B10:H10),-SUM($B30:H30)/SUM($B10:H10)))</f>
        <v>1.3395423877970078</v>
      </c>
      <c r="H32" s="789"/>
      <c r="J32" s="786"/>
      <c r="K32" s="1326"/>
    </row>
    <row r="33" spans="1:12" ht="6" customHeight="1" x14ac:dyDescent="0.2">
      <c r="A33" s="1342"/>
      <c r="B33" s="1343"/>
      <c r="C33" s="1343"/>
      <c r="D33" s="1343"/>
      <c r="E33" s="1343"/>
      <c r="F33" s="1343"/>
      <c r="G33" s="768"/>
      <c r="H33" s="768"/>
      <c r="I33" s="768"/>
      <c r="K33" s="1326"/>
    </row>
    <row r="34" spans="1:12" s="819" customFormat="1" ht="16.5" customHeight="1" x14ac:dyDescent="0.2">
      <c r="A34" s="818" t="s">
        <v>796</v>
      </c>
      <c r="B34" s="818">
        <f>'Financial Ratios'!C20</f>
        <v>67.2</v>
      </c>
      <c r="C34" s="818">
        <f>'Financial Ratios'!D20</f>
        <v>61.7</v>
      </c>
      <c r="D34" s="818">
        <f>'Financial Ratios'!E20</f>
        <v>61.8</v>
      </c>
      <c r="E34" s="818">
        <f>'Financial Ratios'!F20</f>
        <v>59.8</v>
      </c>
      <c r="F34" s="818">
        <f>'Financial Ratios'!G20</f>
        <v>31.3</v>
      </c>
      <c r="G34" s="818">
        <f>ROUND(360/'Projected FS'!G24,0)</f>
        <v>9</v>
      </c>
      <c r="H34" s="820"/>
      <c r="I34" s="820"/>
      <c r="J34" s="820"/>
      <c r="K34" s="1326"/>
    </row>
    <row r="35" spans="1:12" s="821" customFormat="1" ht="16.5" customHeight="1" x14ac:dyDescent="0.2">
      <c r="A35" s="723" t="s">
        <v>392</v>
      </c>
      <c r="B35" s="723">
        <f>'Financial Ratios'!C25</f>
        <v>57.7</v>
      </c>
      <c r="C35" s="723">
        <f>'Financial Ratios'!D25</f>
        <v>60.1</v>
      </c>
      <c r="D35" s="723">
        <f>'Financial Ratios'!E25</f>
        <v>66.8</v>
      </c>
      <c r="E35" s="723">
        <f>'Financial Ratios'!F25</f>
        <v>69.2</v>
      </c>
      <c r="F35" s="723">
        <f>'Financial Ratios'!G25</f>
        <v>71.2</v>
      </c>
      <c r="G35" s="818">
        <f>ROUND(360/'Projected FS'!G25,0)</f>
        <v>69</v>
      </c>
      <c r="H35" s="822"/>
      <c r="I35" s="822"/>
      <c r="J35" s="822"/>
      <c r="K35" s="1326"/>
    </row>
    <row r="36" spans="1:12" s="816" customFormat="1" ht="16.5" customHeight="1" x14ac:dyDescent="0.2">
      <c r="A36" s="841" t="s">
        <v>1056</v>
      </c>
      <c r="B36" s="841">
        <f>'Financial Ratios'!C30</f>
        <v>74.7</v>
      </c>
      <c r="C36" s="841">
        <f>'Financial Ratios'!D30</f>
        <v>94.5</v>
      </c>
      <c r="D36" s="841">
        <f>'Financial Ratios'!E30</f>
        <v>100.8</v>
      </c>
      <c r="E36" s="841">
        <f>'Financial Ratios'!F30</f>
        <v>103.6</v>
      </c>
      <c r="F36" s="841">
        <f>'Financial Ratios'!G30</f>
        <v>99.4</v>
      </c>
      <c r="G36" s="666">
        <f>ROUND(360/'Projected FS'!G26,0)</f>
        <v>100</v>
      </c>
      <c r="H36" s="823"/>
      <c r="I36" s="823"/>
      <c r="J36" s="823"/>
      <c r="K36" s="1326"/>
      <c r="L36" s="821"/>
    </row>
    <row r="37" spans="1:12" s="821" customFormat="1" ht="16.5" customHeight="1" thickBot="1" x14ac:dyDescent="0.25">
      <c r="A37" s="681" t="s">
        <v>795</v>
      </c>
      <c r="B37" s="681">
        <f>'Financial Ratios'!C41</f>
        <v>50.2</v>
      </c>
      <c r="C37" s="681">
        <f>'Financial Ratios'!D41</f>
        <v>27.300000000000011</v>
      </c>
      <c r="D37" s="681">
        <f>'Financial Ratios'!E41</f>
        <v>27.799999999999997</v>
      </c>
      <c r="E37" s="681">
        <f>'Financial Ratios'!F41</f>
        <v>25.400000000000006</v>
      </c>
      <c r="F37" s="681">
        <f>'Financial Ratios'!G41</f>
        <v>3.0999999999999943</v>
      </c>
      <c r="G37" s="842">
        <f>G34+G35-G36</f>
        <v>-22</v>
      </c>
      <c r="H37" s="822"/>
      <c r="I37" s="822"/>
      <c r="J37" s="822"/>
      <c r="K37" s="1327"/>
    </row>
    <row r="38" spans="1:12" s="685" customFormat="1" ht="9" customHeight="1" x14ac:dyDescent="0.2">
      <c r="H38" s="785"/>
      <c r="I38" s="785"/>
      <c r="J38" s="785"/>
    </row>
    <row r="39" spans="1:12" ht="17.25" customHeight="1" x14ac:dyDescent="0.2">
      <c r="A39" s="1344" t="s">
        <v>705</v>
      </c>
      <c r="B39" s="1344"/>
      <c r="C39" s="1344"/>
      <c r="D39" s="1344"/>
      <c r="E39" s="1344"/>
      <c r="F39" s="1344"/>
      <c r="G39" s="1344"/>
      <c r="H39" s="768"/>
      <c r="I39" s="768"/>
    </row>
    <row r="40" spans="1:12" s="683" customFormat="1" ht="16.899999999999999" customHeight="1" x14ac:dyDescent="0.2">
      <c r="G40" s="731"/>
      <c r="H40" s="731"/>
      <c r="I40" s="731"/>
      <c r="J40" s="731"/>
    </row>
    <row r="41" spans="1:12" s="677" customFormat="1" ht="16.5" customHeight="1" x14ac:dyDescent="0.2">
      <c r="A41" s="771"/>
      <c r="B41" s="771"/>
      <c r="C41" s="771"/>
      <c r="D41" s="771"/>
      <c r="E41" s="771"/>
      <c r="F41" s="771"/>
      <c r="G41" s="771"/>
      <c r="H41" s="786"/>
      <c r="I41" s="786"/>
      <c r="J41" s="786"/>
    </row>
    <row r="42" spans="1:12" s="777" customFormat="1" ht="16.5" customHeight="1" x14ac:dyDescent="0.2">
      <c r="A42" s="808" t="s">
        <v>233</v>
      </c>
      <c r="G42" s="776"/>
      <c r="H42" s="776"/>
      <c r="I42" s="776"/>
      <c r="J42" s="776"/>
    </row>
    <row r="43" spans="1:12" s="677" customFormat="1" ht="16.5" customHeight="1" x14ac:dyDescent="0.2">
      <c r="A43" s="787"/>
      <c r="G43" s="786"/>
      <c r="H43" s="786"/>
      <c r="I43" s="786"/>
      <c r="J43" s="786"/>
    </row>
    <row r="44" spans="1:12" s="677" customFormat="1" ht="16.5" customHeight="1" x14ac:dyDescent="0.2">
      <c r="A44" s="787"/>
      <c r="G44" s="786"/>
      <c r="H44" s="786"/>
      <c r="I44" s="786"/>
      <c r="J44" s="786"/>
    </row>
    <row r="45" spans="1:12" s="677" customFormat="1" ht="16.5" customHeight="1" x14ac:dyDescent="0.2">
      <c r="A45" s="787"/>
      <c r="G45" s="786"/>
      <c r="H45" s="786"/>
      <c r="I45" s="786"/>
      <c r="J45" s="786"/>
    </row>
    <row r="46" spans="1:12" s="677" customFormat="1" ht="16.5" customHeight="1" x14ac:dyDescent="0.2">
      <c r="A46" s="787"/>
      <c r="G46" s="786"/>
      <c r="H46" s="786"/>
      <c r="I46" s="786"/>
      <c r="J46" s="786"/>
    </row>
    <row r="47" spans="1:12" s="677" customFormat="1" ht="16.5" customHeight="1" x14ac:dyDescent="0.2">
      <c r="A47" s="788"/>
      <c r="G47" s="786"/>
      <c r="H47" s="786"/>
      <c r="I47" s="786"/>
      <c r="J47" s="786"/>
    </row>
    <row r="48" spans="1:12" s="677" customFormat="1" ht="16.5" customHeight="1" x14ac:dyDescent="0.35">
      <c r="B48" s="416" t="s">
        <v>491</v>
      </c>
      <c r="C48" s="57"/>
      <c r="D48" s="57"/>
      <c r="E48" s="57"/>
      <c r="F48" s="57"/>
      <c r="G48" s="175" t="s">
        <v>204</v>
      </c>
      <c r="H48" s="789"/>
      <c r="J48" s="786"/>
      <c r="K48" s="997" t="s">
        <v>914</v>
      </c>
    </row>
    <row r="49" spans="1:19" s="677" customFormat="1" ht="16.5" customHeight="1" x14ac:dyDescent="0.2">
      <c r="A49" s="246" t="s">
        <v>241</v>
      </c>
      <c r="B49" s="58">
        <f>'IS Analysis Adjustments'!B1</f>
        <v>2011</v>
      </c>
      <c r="C49" s="58">
        <f>B49+1</f>
        <v>2012</v>
      </c>
      <c r="D49" s="58">
        <f>C49+1</f>
        <v>2013</v>
      </c>
      <c r="E49" s="58">
        <f>D49+1</f>
        <v>2014</v>
      </c>
      <c r="F49" s="58">
        <f>E49+1</f>
        <v>2015</v>
      </c>
      <c r="G49" s="415">
        <f>F49+1</f>
        <v>2016</v>
      </c>
      <c r="H49" s="789"/>
      <c r="I49" s="430">
        <f>'IS Analysis Adjustments'!B1-1</f>
        <v>2010</v>
      </c>
    </row>
    <row r="50" spans="1:19" s="677" customFormat="1" ht="6" customHeight="1" x14ac:dyDescent="0.2">
      <c r="A50" s="1345"/>
      <c r="B50" s="1346"/>
      <c r="C50" s="1346"/>
      <c r="D50" s="1346"/>
      <c r="E50" s="1346"/>
      <c r="F50" s="1346"/>
      <c r="H50" s="786"/>
      <c r="I50" s="786"/>
    </row>
    <row r="51" spans="1:19" s="790" customFormat="1" ht="16.5" customHeight="1" x14ac:dyDescent="0.2">
      <c r="A51" s="418" t="s">
        <v>234</v>
      </c>
      <c r="B51" s="418">
        <f t="shared" ref="B51:G51" si="3">B30</f>
        <v>1177</v>
      </c>
      <c r="C51" s="418">
        <f t="shared" si="3"/>
        <v>1110</v>
      </c>
      <c r="D51" s="418">
        <f t="shared" si="3"/>
        <v>1320</v>
      </c>
      <c r="E51" s="418">
        <f t="shared" si="3"/>
        <v>1220</v>
      </c>
      <c r="F51" s="418">
        <f t="shared" si="3"/>
        <v>2451</v>
      </c>
      <c r="G51" s="418">
        <f t="shared" si="3"/>
        <v>1855</v>
      </c>
      <c r="H51" s="778"/>
      <c r="I51" s="418">
        <f>'Common-size FS'!B126</f>
        <v>1177</v>
      </c>
      <c r="L51" s="677"/>
    </row>
    <row r="52" spans="1:19" s="718" customFormat="1" ht="16.5" customHeight="1" x14ac:dyDescent="0.2">
      <c r="A52" s="170" t="s">
        <v>572</v>
      </c>
      <c r="B52" s="736">
        <f>SUM('Common-size FS'!C132:C133,'Common-size FS'!C136)</f>
        <v>-511</v>
      </c>
      <c r="C52" s="810">
        <f>SUM('Common-size FS'!D132:D133,'Common-size FS'!D136)</f>
        <v>-513</v>
      </c>
      <c r="D52" s="810">
        <f>SUM('Common-size FS'!E132:E133,'Common-size FS'!E136)</f>
        <v>-803</v>
      </c>
      <c r="E52" s="810">
        <f>SUM('Common-size FS'!F132:F133,'Common-size FS'!F136)</f>
        <v>-861</v>
      </c>
      <c r="F52" s="810">
        <f>SUM('Common-size FS'!G132:G133,'Common-size FS'!G136)</f>
        <v>-1082</v>
      </c>
      <c r="G52" s="636">
        <f>'Projected FS'!G126</f>
        <v>-1127</v>
      </c>
      <c r="H52" s="792"/>
      <c r="I52" s="810">
        <f>SUM('Common-size FS'!B132:B133,'Common-size FS'!B136)</f>
        <v>-399</v>
      </c>
    </row>
    <row r="53" spans="1:19" s="718" customFormat="1" ht="16.5" customHeight="1" x14ac:dyDescent="0.2">
      <c r="A53" s="170" t="s">
        <v>494</v>
      </c>
      <c r="B53" s="32">
        <f>-'Financial Ratios'!C71</f>
        <v>0</v>
      </c>
      <c r="C53" s="32">
        <f>-'Financial Ratios'!D71</f>
        <v>0</v>
      </c>
      <c r="D53" s="32">
        <f>-'Financial Ratios'!E71</f>
        <v>0</v>
      </c>
      <c r="E53" s="32">
        <f>-'Financial Ratios'!F71</f>
        <v>0</v>
      </c>
      <c r="F53" s="32">
        <f>-'Financial Ratios'!G71</f>
        <v>0</v>
      </c>
      <c r="G53" s="32">
        <f>'Projected FS'!G165</f>
        <v>0</v>
      </c>
      <c r="H53" s="792"/>
      <c r="I53" s="811">
        <v>-12</v>
      </c>
    </row>
    <row r="54" spans="1:19" s="677" customFormat="1" ht="16.5" customHeight="1" x14ac:dyDescent="0.2">
      <c r="A54" s="770" t="s">
        <v>495</v>
      </c>
      <c r="B54" s="813">
        <v>-108</v>
      </c>
      <c r="C54" s="813">
        <v>-108</v>
      </c>
      <c r="D54" s="813">
        <v>-108</v>
      </c>
      <c r="E54" s="813">
        <v>-108</v>
      </c>
      <c r="F54" s="813">
        <v>-108</v>
      </c>
      <c r="G54" s="417">
        <f>'Projected FS'!G166</f>
        <v>-280</v>
      </c>
      <c r="H54" s="786"/>
      <c r="I54" s="812">
        <v>-108</v>
      </c>
      <c r="O54" s="793"/>
      <c r="P54" s="793"/>
      <c r="Q54" s="793"/>
      <c r="R54" s="793"/>
      <c r="S54" s="793"/>
    </row>
    <row r="55" spans="1:19" s="794" customFormat="1" ht="16.5" customHeight="1" thickBot="1" x14ac:dyDescent="0.25">
      <c r="A55" s="237" t="s">
        <v>109</v>
      </c>
      <c r="B55" s="237">
        <f t="shared" ref="B55:G55" si="4">SUM(B51:B54)</f>
        <v>558</v>
      </c>
      <c r="C55" s="237">
        <f t="shared" si="4"/>
        <v>489</v>
      </c>
      <c r="D55" s="237">
        <f t="shared" si="4"/>
        <v>409</v>
      </c>
      <c r="E55" s="237">
        <f t="shared" si="4"/>
        <v>251</v>
      </c>
      <c r="F55" s="237">
        <f t="shared" si="4"/>
        <v>1261</v>
      </c>
      <c r="G55" s="237">
        <f t="shared" si="4"/>
        <v>448</v>
      </c>
      <c r="H55" s="795"/>
      <c r="I55" s="633">
        <f>SUM(I51:I54)</f>
        <v>658</v>
      </c>
      <c r="L55" s="727"/>
    </row>
    <row r="56" spans="1:19" s="797" customFormat="1" ht="16.5" customHeight="1" x14ac:dyDescent="0.2">
      <c r="A56" s="178" t="s">
        <v>235</v>
      </c>
      <c r="B56" s="179">
        <f>B55/I55-1</f>
        <v>-0.15197568389057747</v>
      </c>
      <c r="C56" s="179">
        <f>C55/B55-1</f>
        <v>-0.12365591397849462</v>
      </c>
      <c r="D56" s="179">
        <f>D55/C55-1</f>
        <v>-0.16359918200408996</v>
      </c>
      <c r="E56" s="179">
        <f>E55/D55-1</f>
        <v>-0.38630806845965771</v>
      </c>
      <c r="F56" s="179">
        <f>F55/E55-1</f>
        <v>4.0239043824701195</v>
      </c>
      <c r="G56" s="179">
        <f>G55/F55-1</f>
        <v>-0.64472640761300548</v>
      </c>
      <c r="H56" s="796"/>
      <c r="K56" s="1328" t="s">
        <v>1062</v>
      </c>
      <c r="L56" s="677"/>
    </row>
    <row r="57" spans="1:19" s="802" customFormat="1" ht="6" customHeight="1" x14ac:dyDescent="0.2">
      <c r="A57" s="798"/>
      <c r="B57" s="799"/>
      <c r="C57" s="799"/>
      <c r="D57" s="799"/>
      <c r="E57" s="799"/>
      <c r="F57" s="799"/>
      <c r="G57" s="800"/>
      <c r="H57" s="801"/>
      <c r="J57" s="800"/>
      <c r="K57" s="1329"/>
      <c r="L57" s="1222"/>
    </row>
    <row r="58" spans="1:19" s="720" customFormat="1" ht="16.5" customHeight="1" x14ac:dyDescent="0.2">
      <c r="A58" s="228" t="s">
        <v>497</v>
      </c>
      <c r="B58" s="228">
        <f t="shared" ref="B58:G58" si="5">B7</f>
        <v>683</v>
      </c>
      <c r="C58" s="228">
        <f t="shared" si="5"/>
        <v>735</v>
      </c>
      <c r="D58" s="228">
        <f t="shared" si="5"/>
        <v>734</v>
      </c>
      <c r="E58" s="228">
        <f t="shared" si="5"/>
        <v>720</v>
      </c>
      <c r="F58" s="228">
        <f t="shared" si="5"/>
        <v>600</v>
      </c>
      <c r="G58" s="228">
        <f t="shared" si="5"/>
        <v>520</v>
      </c>
      <c r="H58" s="779"/>
      <c r="J58" s="779"/>
      <c r="K58" s="1329"/>
      <c r="L58" s="1223"/>
    </row>
    <row r="59" spans="1:19" s="715" customFormat="1" ht="16.5" customHeight="1" x14ac:dyDescent="0.2">
      <c r="A59" s="180" t="s">
        <v>236</v>
      </c>
      <c r="B59" s="767">
        <f t="shared" ref="B59:G59" si="6">B55/B58</f>
        <v>0.81698389458272325</v>
      </c>
      <c r="C59" s="767">
        <f t="shared" si="6"/>
        <v>0.66530612244897958</v>
      </c>
      <c r="D59" s="767">
        <f t="shared" si="6"/>
        <v>0.55722070844686644</v>
      </c>
      <c r="E59" s="767">
        <f t="shared" si="6"/>
        <v>0.34861111111111109</v>
      </c>
      <c r="F59" s="767">
        <f t="shared" si="6"/>
        <v>2.1016666666666666</v>
      </c>
      <c r="G59" s="767">
        <f t="shared" si="6"/>
        <v>0.86153846153846159</v>
      </c>
      <c r="H59" s="784"/>
      <c r="J59" s="784"/>
      <c r="K59" s="1329"/>
      <c r="L59" s="682"/>
    </row>
    <row r="60" spans="1:19" s="803" customFormat="1" ht="9" customHeight="1" x14ac:dyDescent="0.2">
      <c r="B60" s="804"/>
      <c r="C60" s="804"/>
      <c r="D60" s="804"/>
      <c r="E60" s="804"/>
      <c r="F60" s="804"/>
      <c r="G60" s="786"/>
      <c r="H60" s="805"/>
      <c r="I60" s="804"/>
      <c r="J60" s="805"/>
      <c r="K60" s="1329"/>
      <c r="L60" s="1223"/>
    </row>
    <row r="61" spans="1:19" s="683" customFormat="1" ht="16.5" customHeight="1" x14ac:dyDescent="0.2">
      <c r="A61" s="1339" t="s">
        <v>479</v>
      </c>
      <c r="B61" s="1339"/>
      <c r="C61" s="1339"/>
      <c r="D61" s="1339"/>
      <c r="E61" s="1339"/>
      <c r="F61" s="1339"/>
      <c r="G61" s="1339"/>
      <c r="H61" s="731"/>
      <c r="I61" s="731"/>
      <c r="J61" s="731"/>
      <c r="K61" s="1329"/>
    </row>
    <row r="62" spans="1:19" s="791" customFormat="1" ht="16.5" customHeight="1" x14ac:dyDescent="0.2">
      <c r="A62" s="1340" t="s">
        <v>480</v>
      </c>
      <c r="B62" s="1341"/>
      <c r="C62" s="1341"/>
      <c r="D62" s="1341"/>
      <c r="E62" s="1341"/>
      <c r="F62" s="1341"/>
      <c r="G62" s="1341"/>
      <c r="H62" s="806"/>
      <c r="I62" s="806"/>
      <c r="J62" s="806"/>
      <c r="K62" s="1330"/>
      <c r="L62" s="718"/>
    </row>
    <row r="63" spans="1:19" s="791" customFormat="1" ht="16.5" customHeight="1" x14ac:dyDescent="0.2">
      <c r="A63" s="683"/>
      <c r="B63" s="683"/>
      <c r="C63" s="683"/>
      <c r="D63" s="683"/>
      <c r="E63" s="683"/>
      <c r="F63" s="807"/>
      <c r="G63" s="783"/>
      <c r="H63" s="806"/>
      <c r="I63" s="806"/>
      <c r="J63" s="806"/>
      <c r="L63" s="718"/>
    </row>
    <row r="64" spans="1:19" s="683" customFormat="1" ht="16.899999999999999" customHeight="1" x14ac:dyDescent="0.2">
      <c r="F64" s="807"/>
      <c r="G64" s="783"/>
      <c r="H64" s="731"/>
      <c r="I64" s="731"/>
      <c r="J64" s="731"/>
    </row>
    <row r="65" spans="1:26" ht="15.75" customHeight="1" x14ac:dyDescent="0.2">
      <c r="A65" s="682"/>
      <c r="B65" s="682"/>
      <c r="C65" s="682"/>
      <c r="D65" s="682"/>
      <c r="E65" s="682"/>
      <c r="F65" s="682"/>
      <c r="G65" s="781"/>
      <c r="H65" s="781"/>
      <c r="I65" s="781"/>
    </row>
    <row r="66" spans="1:26" s="87" customFormat="1" ht="16.899999999999999" customHeight="1" x14ac:dyDescent="0.2">
      <c r="A66" s="1038" t="s">
        <v>1043</v>
      </c>
      <c r="B66" s="718"/>
      <c r="C66" s="1017"/>
      <c r="D66" s="1018"/>
      <c r="E66" s="1018"/>
      <c r="F66" s="682"/>
      <c r="G66" s="682"/>
      <c r="H66" s="781"/>
      <c r="I66" s="1024"/>
      <c r="J66" s="1024"/>
      <c r="K66" s="1025"/>
      <c r="L66" s="781"/>
      <c r="M66" s="1025"/>
      <c r="N66" s="1025"/>
      <c r="O66" s="682"/>
      <c r="P66" s="682"/>
      <c r="Q66" s="682"/>
      <c r="R66" s="682"/>
      <c r="S66" s="682"/>
      <c r="T66" s="682"/>
      <c r="U66" s="682"/>
      <c r="V66" s="682"/>
      <c r="W66" s="682"/>
      <c r="X66" s="682"/>
      <c r="Y66" s="682"/>
      <c r="Z66" s="682"/>
    </row>
    <row r="67" spans="1:26" s="87" customFormat="1" ht="16.899999999999999" customHeight="1" x14ac:dyDescent="0.2">
      <c r="A67" s="1010" t="s">
        <v>1030</v>
      </c>
      <c r="B67" s="1009"/>
      <c r="C67" s="1009"/>
      <c r="D67" s="1009"/>
      <c r="E67" s="1009"/>
      <c r="F67" s="1016" t="s">
        <v>790</v>
      </c>
      <c r="G67" s="1016" t="s">
        <v>935</v>
      </c>
      <c r="H67" s="781"/>
      <c r="I67" s="1024"/>
      <c r="J67" s="1024"/>
      <c r="K67" s="1025"/>
      <c r="L67" s="781"/>
      <c r="M67" s="1025"/>
      <c r="N67" s="1025"/>
      <c r="O67" s="682"/>
      <c r="P67" s="682"/>
      <c r="Q67" s="682"/>
      <c r="R67" s="682"/>
      <c r="S67" s="682"/>
      <c r="T67" s="682"/>
      <c r="U67" s="682"/>
      <c r="V67" s="682"/>
      <c r="W67" s="682"/>
      <c r="X67" s="682"/>
      <c r="Y67" s="682"/>
      <c r="Z67" s="682"/>
    </row>
    <row r="68" spans="1:26" s="87" customFormat="1" ht="52.15" customHeight="1" x14ac:dyDescent="0.2">
      <c r="A68" s="1282" t="s">
        <v>995</v>
      </c>
      <c r="B68" s="1282"/>
      <c r="C68" s="1282"/>
      <c r="D68" s="1282"/>
      <c r="E68" s="1282"/>
      <c r="F68" s="1042">
        <v>50</v>
      </c>
      <c r="G68" s="1043">
        <v>46</v>
      </c>
      <c r="H68" s="781"/>
      <c r="I68" s="1024"/>
      <c r="J68" s="1024"/>
      <c r="K68" s="1025"/>
      <c r="L68" s="781"/>
      <c r="M68" s="1025"/>
      <c r="N68" s="1025"/>
      <c r="O68" s="682"/>
      <c r="P68" s="682"/>
      <c r="Q68" s="682"/>
      <c r="R68" s="682"/>
      <c r="S68" s="682"/>
      <c r="T68" s="682"/>
      <c r="U68" s="682"/>
      <c r="V68" s="682"/>
      <c r="W68" s="682"/>
      <c r="X68" s="682"/>
      <c r="Y68" s="682"/>
      <c r="Z68" s="682"/>
    </row>
    <row r="69" spans="1:26" s="88" customFormat="1" ht="40.15" customHeight="1" x14ac:dyDescent="0.2">
      <c r="A69" s="1286" t="s">
        <v>996</v>
      </c>
      <c r="B69" s="1287"/>
      <c r="C69" s="1287"/>
      <c r="D69" s="1287"/>
      <c r="E69" s="1287"/>
      <c r="F69" s="1012">
        <v>50</v>
      </c>
      <c r="G69" s="1014">
        <v>43</v>
      </c>
      <c r="H69" s="193"/>
      <c r="I69" s="1026"/>
      <c r="J69" s="1026"/>
      <c r="K69" s="1027"/>
      <c r="L69" s="785"/>
      <c r="M69" s="1027"/>
      <c r="N69" s="1027"/>
      <c r="O69" s="685"/>
      <c r="P69" s="685"/>
      <c r="Q69" s="685"/>
      <c r="R69" s="685"/>
      <c r="S69" s="685"/>
      <c r="T69" s="685"/>
      <c r="U69" s="685"/>
      <c r="V69" s="685"/>
      <c r="W69" s="685"/>
      <c r="X69" s="685"/>
      <c r="Y69" s="685"/>
      <c r="Z69" s="685"/>
    </row>
    <row r="70" spans="1:26" s="198" customFormat="1" ht="16.899999999999999" customHeight="1" thickBot="1" x14ac:dyDescent="0.25">
      <c r="A70" s="169" t="s">
        <v>936</v>
      </c>
      <c r="B70" s="1020"/>
      <c r="C70" s="1020"/>
      <c r="D70" s="1020"/>
      <c r="E70" s="1020"/>
      <c r="F70" s="37">
        <f>SUM(F68:F69)</f>
        <v>100</v>
      </c>
      <c r="G70" s="1080">
        <f>SUM(G68:G69)</f>
        <v>89</v>
      </c>
      <c r="H70" s="419"/>
      <c r="I70" s="1028"/>
      <c r="J70" s="1028"/>
      <c r="K70" s="1029"/>
      <c r="L70" s="1078"/>
      <c r="M70" s="1029"/>
      <c r="N70" s="1029"/>
      <c r="O70" s="687"/>
      <c r="P70" s="687"/>
      <c r="Q70" s="687"/>
      <c r="R70" s="687"/>
      <c r="S70" s="687"/>
      <c r="T70" s="687"/>
      <c r="U70" s="687"/>
      <c r="V70" s="687"/>
      <c r="W70" s="687"/>
      <c r="X70" s="687"/>
      <c r="Y70" s="687"/>
      <c r="Z70" s="687"/>
    </row>
    <row r="71" spans="1:26" s="682" customFormat="1" ht="16.5" customHeight="1" x14ac:dyDescent="0.2">
      <c r="G71" s="781"/>
      <c r="H71" s="781"/>
      <c r="I71" s="781"/>
      <c r="J71" s="781"/>
    </row>
    <row r="72" spans="1:26" s="682" customFormat="1" ht="16.5" customHeight="1" x14ac:dyDescent="0.2">
      <c r="G72" s="781"/>
      <c r="H72" s="781"/>
      <c r="I72" s="781"/>
      <c r="J72" s="781"/>
    </row>
    <row r="73" spans="1:26" s="682" customFormat="1" ht="16.5" customHeight="1" x14ac:dyDescent="0.2">
      <c r="G73" s="781"/>
      <c r="H73" s="781"/>
      <c r="I73" s="781"/>
      <c r="J73" s="781"/>
    </row>
    <row r="74" spans="1:26" s="682" customFormat="1" ht="16.5" customHeight="1" x14ac:dyDescent="0.2">
      <c r="G74" s="781"/>
      <c r="H74" s="781"/>
      <c r="I74" s="781"/>
      <c r="J74" s="781"/>
    </row>
    <row r="75" spans="1:26" s="682" customFormat="1" ht="16.5" customHeight="1" x14ac:dyDescent="0.2">
      <c r="G75" s="781"/>
      <c r="H75" s="781"/>
      <c r="I75" s="781"/>
      <c r="J75" s="781"/>
    </row>
    <row r="76" spans="1:26" s="682" customFormat="1" ht="16.5" customHeight="1" x14ac:dyDescent="0.2">
      <c r="G76" s="781"/>
      <c r="H76" s="781"/>
      <c r="I76" s="781"/>
      <c r="J76" s="781"/>
    </row>
    <row r="77" spans="1:26" s="682" customFormat="1" ht="16.5" customHeight="1" x14ac:dyDescent="0.2">
      <c r="G77" s="781"/>
      <c r="H77" s="781"/>
      <c r="I77" s="781"/>
      <c r="J77" s="781"/>
    </row>
    <row r="78" spans="1:26" s="682" customFormat="1" ht="16.5" customHeight="1" x14ac:dyDescent="0.2">
      <c r="G78" s="781"/>
      <c r="H78" s="781"/>
      <c r="I78" s="781"/>
      <c r="J78" s="781"/>
    </row>
    <row r="79" spans="1:26" s="682" customFormat="1" ht="16.5" customHeight="1" x14ac:dyDescent="0.2">
      <c r="G79" s="781"/>
      <c r="H79" s="781"/>
      <c r="I79" s="781"/>
      <c r="J79" s="781"/>
    </row>
    <row r="80" spans="1:26" s="682" customFormat="1" ht="16.5" customHeight="1" x14ac:dyDescent="0.2">
      <c r="G80" s="781"/>
      <c r="H80" s="781"/>
      <c r="I80" s="781"/>
      <c r="J80" s="781"/>
    </row>
    <row r="81" spans="7:10" s="682" customFormat="1" ht="16.5" customHeight="1" x14ac:dyDescent="0.2">
      <c r="G81" s="781"/>
      <c r="H81" s="781"/>
      <c r="I81" s="781"/>
      <c r="J81" s="781"/>
    </row>
    <row r="82" spans="7:10" s="682" customFormat="1" ht="16.5" customHeight="1" x14ac:dyDescent="0.2">
      <c r="G82" s="781"/>
      <c r="H82" s="781"/>
      <c r="I82" s="781"/>
      <c r="J82" s="781"/>
    </row>
    <row r="83" spans="7:10" s="682" customFormat="1" ht="16.5" customHeight="1" x14ac:dyDescent="0.2">
      <c r="G83" s="781"/>
      <c r="H83" s="781"/>
      <c r="I83" s="781"/>
      <c r="J83" s="781"/>
    </row>
    <row r="84" spans="7:10" s="682" customFormat="1" ht="16.5" customHeight="1" x14ac:dyDescent="0.2">
      <c r="G84" s="781"/>
      <c r="H84" s="781"/>
      <c r="I84" s="781"/>
      <c r="J84" s="781"/>
    </row>
    <row r="85" spans="7:10" s="682" customFormat="1" ht="16.5" customHeight="1" x14ac:dyDescent="0.2">
      <c r="G85" s="781"/>
      <c r="H85" s="781"/>
      <c r="I85" s="781"/>
      <c r="J85" s="781"/>
    </row>
    <row r="86" spans="7:10" s="682" customFormat="1" ht="16.5" customHeight="1" x14ac:dyDescent="0.2">
      <c r="G86" s="781"/>
      <c r="H86" s="781"/>
      <c r="I86" s="781"/>
      <c r="J86" s="781"/>
    </row>
    <row r="87" spans="7:10" s="682" customFormat="1" ht="16.5" customHeight="1" x14ac:dyDescent="0.2">
      <c r="G87" s="781"/>
      <c r="H87" s="781"/>
      <c r="I87" s="781"/>
      <c r="J87" s="781"/>
    </row>
    <row r="88" spans="7:10" s="682" customFormat="1" ht="16.5" customHeight="1" x14ac:dyDescent="0.2">
      <c r="G88" s="781"/>
      <c r="H88" s="781"/>
      <c r="I88" s="781"/>
      <c r="J88" s="781"/>
    </row>
    <row r="89" spans="7:10" s="682" customFormat="1" ht="16.5" customHeight="1" x14ac:dyDescent="0.2">
      <c r="G89" s="781"/>
      <c r="H89" s="781"/>
      <c r="I89" s="781"/>
      <c r="J89" s="781"/>
    </row>
    <row r="90" spans="7:10" s="682" customFormat="1" ht="16.5" customHeight="1" x14ac:dyDescent="0.2">
      <c r="G90" s="781"/>
      <c r="H90" s="781"/>
      <c r="I90" s="781"/>
      <c r="J90" s="781"/>
    </row>
    <row r="91" spans="7:10" s="682" customFormat="1" ht="16.5" customHeight="1" x14ac:dyDescent="0.2">
      <c r="G91" s="781"/>
      <c r="H91" s="781"/>
      <c r="I91" s="781"/>
      <c r="J91" s="781"/>
    </row>
    <row r="92" spans="7:10" s="682" customFormat="1" ht="16.5" customHeight="1" x14ac:dyDescent="0.2">
      <c r="G92" s="781"/>
      <c r="H92" s="781"/>
      <c r="I92" s="781"/>
      <c r="J92" s="781"/>
    </row>
    <row r="93" spans="7:10" s="682" customFormat="1" ht="16.5" customHeight="1" x14ac:dyDescent="0.2">
      <c r="G93" s="781"/>
      <c r="H93" s="781"/>
      <c r="I93" s="781"/>
      <c r="J93" s="781"/>
    </row>
    <row r="94" spans="7:10" s="682" customFormat="1" ht="16.5" customHeight="1" x14ac:dyDescent="0.2">
      <c r="G94" s="781"/>
      <c r="H94" s="781"/>
      <c r="I94" s="781"/>
      <c r="J94" s="781"/>
    </row>
    <row r="95" spans="7:10" s="682" customFormat="1" ht="16.5" customHeight="1" x14ac:dyDescent="0.2">
      <c r="G95" s="781"/>
      <c r="H95" s="781"/>
      <c r="I95" s="781"/>
      <c r="J95" s="781"/>
    </row>
    <row r="96" spans="7:10" s="682" customFormat="1" ht="16.5" customHeight="1" x14ac:dyDescent="0.2">
      <c r="G96" s="781"/>
      <c r="H96" s="781"/>
      <c r="I96" s="781"/>
      <c r="J96" s="781"/>
    </row>
    <row r="97" spans="2:10" s="682" customFormat="1" ht="16.5" customHeight="1" x14ac:dyDescent="0.2">
      <c r="G97" s="781"/>
      <c r="H97" s="781"/>
      <c r="I97" s="781"/>
      <c r="J97" s="781"/>
    </row>
    <row r="98" spans="2:10" s="682" customFormat="1" ht="16.5" customHeight="1" x14ac:dyDescent="0.2">
      <c r="G98" s="781"/>
      <c r="H98" s="781"/>
      <c r="I98" s="781"/>
      <c r="J98" s="781"/>
    </row>
    <row r="99" spans="2:10" ht="16.5" customHeight="1" x14ac:dyDescent="0.2">
      <c r="B99" s="771"/>
      <c r="C99" s="771"/>
      <c r="D99" s="771"/>
      <c r="E99" s="771"/>
      <c r="F99" s="771"/>
      <c r="G99" s="768"/>
      <c r="H99" s="768"/>
      <c r="I99" s="768"/>
    </row>
    <row r="100" spans="2:10" ht="16.5" customHeight="1" x14ac:dyDescent="0.2">
      <c r="B100" s="771"/>
      <c r="C100" s="771"/>
      <c r="D100" s="771"/>
      <c r="E100" s="771"/>
      <c r="F100" s="771"/>
      <c r="G100" s="768"/>
      <c r="H100" s="768"/>
      <c r="I100" s="768"/>
    </row>
    <row r="101" spans="2:10" ht="16.5" customHeight="1" x14ac:dyDescent="0.2">
      <c r="B101" s="771"/>
      <c r="C101" s="771"/>
      <c r="D101" s="771"/>
      <c r="E101" s="771"/>
      <c r="F101" s="771"/>
      <c r="G101" s="768"/>
      <c r="H101" s="768"/>
      <c r="I101" s="768"/>
    </row>
    <row r="102" spans="2:10" ht="16.5" customHeight="1" x14ac:dyDescent="0.2">
      <c r="B102" s="771"/>
      <c r="C102" s="771"/>
      <c r="D102" s="771"/>
      <c r="E102" s="771"/>
      <c r="F102" s="771"/>
      <c r="G102" s="768"/>
      <c r="H102" s="768"/>
      <c r="I102" s="768"/>
    </row>
    <row r="103" spans="2:10" ht="16.5" customHeight="1" x14ac:dyDescent="0.2">
      <c r="B103" s="771"/>
      <c r="C103" s="771"/>
      <c r="D103" s="771"/>
      <c r="E103" s="771"/>
      <c r="F103" s="771"/>
      <c r="G103" s="768"/>
      <c r="H103" s="768"/>
      <c r="I103" s="768"/>
    </row>
    <row r="104" spans="2:10" ht="16.5" customHeight="1" x14ac:dyDescent="0.2">
      <c r="B104" s="771"/>
      <c r="C104" s="771"/>
      <c r="D104" s="771"/>
      <c r="E104" s="771"/>
      <c r="F104" s="771"/>
      <c r="G104" s="768"/>
      <c r="H104" s="768"/>
      <c r="I104" s="768"/>
    </row>
    <row r="105" spans="2:10" ht="16.5" customHeight="1" x14ac:dyDescent="0.2">
      <c r="B105" s="771"/>
      <c r="C105" s="771"/>
      <c r="D105" s="771"/>
      <c r="E105" s="771"/>
      <c r="F105" s="771"/>
      <c r="G105" s="768"/>
      <c r="H105" s="768"/>
      <c r="I105" s="768"/>
    </row>
    <row r="106" spans="2:10" ht="16.5" customHeight="1" x14ac:dyDescent="0.2">
      <c r="B106" s="771"/>
      <c r="C106" s="771"/>
      <c r="D106" s="771"/>
      <c r="E106" s="771"/>
      <c r="F106" s="771"/>
      <c r="G106" s="768"/>
      <c r="H106" s="768"/>
      <c r="I106" s="768"/>
    </row>
    <row r="107" spans="2:10" ht="16.5" customHeight="1" x14ac:dyDescent="0.2">
      <c r="B107" s="771"/>
      <c r="C107" s="771"/>
      <c r="D107" s="771"/>
      <c r="E107" s="771"/>
      <c r="F107" s="771"/>
      <c r="G107" s="768"/>
      <c r="H107" s="768"/>
      <c r="I107" s="768"/>
    </row>
    <row r="108" spans="2:10" ht="16.5" customHeight="1" x14ac:dyDescent="0.2">
      <c r="B108" s="771"/>
      <c r="C108" s="771"/>
      <c r="D108" s="771"/>
      <c r="E108" s="771"/>
      <c r="F108" s="771"/>
      <c r="G108" s="768"/>
      <c r="H108" s="768"/>
      <c r="I108" s="768"/>
    </row>
    <row r="109" spans="2:10" ht="16.5" customHeight="1" x14ac:dyDescent="0.2">
      <c r="B109" s="771"/>
      <c r="C109" s="771"/>
      <c r="D109" s="771"/>
      <c r="E109" s="771"/>
      <c r="F109" s="771"/>
      <c r="G109" s="768"/>
      <c r="H109" s="768"/>
      <c r="I109" s="768"/>
    </row>
    <row r="110" spans="2:10" ht="16.5" customHeight="1" x14ac:dyDescent="0.2">
      <c r="B110" s="771"/>
      <c r="C110" s="771"/>
      <c r="D110" s="771"/>
      <c r="E110" s="771"/>
      <c r="F110" s="771"/>
      <c r="G110" s="768"/>
      <c r="H110" s="768"/>
      <c r="I110" s="768"/>
    </row>
    <row r="111" spans="2:10" ht="16.5" customHeight="1" x14ac:dyDescent="0.2">
      <c r="B111" s="771"/>
      <c r="C111" s="771"/>
      <c r="D111" s="771"/>
      <c r="E111" s="771"/>
      <c r="F111" s="771"/>
      <c r="G111" s="768"/>
      <c r="H111" s="768"/>
      <c r="I111" s="768"/>
    </row>
    <row r="112" spans="2:10" ht="16.5" customHeight="1" x14ac:dyDescent="0.2">
      <c r="B112" s="771"/>
      <c r="C112" s="771"/>
      <c r="D112" s="771"/>
      <c r="E112" s="771"/>
      <c r="F112" s="771"/>
      <c r="G112" s="768"/>
      <c r="H112" s="768"/>
      <c r="I112" s="768"/>
    </row>
    <row r="113" spans="2:9" ht="16.5" customHeight="1" x14ac:dyDescent="0.2">
      <c r="B113" s="771"/>
      <c r="C113" s="771"/>
      <c r="D113" s="771"/>
      <c r="E113" s="771"/>
      <c r="F113" s="771"/>
      <c r="G113" s="768"/>
      <c r="H113" s="768"/>
      <c r="I113" s="768"/>
    </row>
    <row r="114" spans="2:9" ht="16.5" customHeight="1" x14ac:dyDescent="0.2">
      <c r="B114" s="771"/>
      <c r="C114" s="771"/>
      <c r="D114" s="771"/>
      <c r="E114" s="771"/>
      <c r="F114" s="771"/>
      <c r="G114" s="768"/>
      <c r="H114" s="768"/>
      <c r="I114" s="768"/>
    </row>
    <row r="115" spans="2:9" ht="16.5" customHeight="1" x14ac:dyDescent="0.2">
      <c r="B115" s="771"/>
      <c r="C115" s="771"/>
      <c r="D115" s="771"/>
      <c r="E115" s="771"/>
      <c r="F115" s="771"/>
      <c r="G115" s="768"/>
      <c r="H115" s="768"/>
      <c r="I115" s="768"/>
    </row>
    <row r="116" spans="2:9" ht="16.5" customHeight="1" x14ac:dyDescent="0.2">
      <c r="B116" s="771"/>
      <c r="C116" s="771"/>
      <c r="D116" s="771"/>
      <c r="E116" s="771"/>
      <c r="F116" s="771"/>
      <c r="G116" s="768"/>
      <c r="H116" s="768"/>
      <c r="I116" s="768"/>
    </row>
    <row r="117" spans="2:9" ht="16.5" customHeight="1" x14ac:dyDescent="0.2">
      <c r="B117" s="771"/>
      <c r="C117" s="771"/>
      <c r="D117" s="771"/>
      <c r="E117" s="771"/>
      <c r="F117" s="771"/>
      <c r="G117" s="768"/>
      <c r="H117" s="768"/>
      <c r="I117" s="768"/>
    </row>
    <row r="118" spans="2:9" ht="16.5" customHeight="1" x14ac:dyDescent="0.2">
      <c r="B118" s="771"/>
      <c r="C118" s="771"/>
      <c r="D118" s="771"/>
      <c r="E118" s="771"/>
      <c r="F118" s="771"/>
      <c r="G118" s="768"/>
      <c r="H118" s="768"/>
      <c r="I118" s="768"/>
    </row>
    <row r="119" spans="2:9" ht="16.5" customHeight="1" x14ac:dyDescent="0.2">
      <c r="B119" s="771"/>
      <c r="C119" s="771"/>
      <c r="D119" s="771"/>
      <c r="E119" s="771"/>
      <c r="F119" s="771"/>
      <c r="G119" s="768"/>
      <c r="H119" s="768"/>
      <c r="I119" s="768"/>
    </row>
    <row r="120" spans="2:9" ht="16.5" customHeight="1" x14ac:dyDescent="0.2">
      <c r="B120" s="771"/>
      <c r="C120" s="771"/>
      <c r="D120" s="771"/>
      <c r="E120" s="771"/>
      <c r="F120" s="771"/>
      <c r="G120" s="768"/>
      <c r="H120" s="768"/>
      <c r="I120" s="768"/>
    </row>
    <row r="121" spans="2:9" ht="16.5" customHeight="1" x14ac:dyDescent="0.2">
      <c r="B121" s="771"/>
      <c r="C121" s="771"/>
      <c r="D121" s="771"/>
      <c r="E121" s="771"/>
      <c r="F121" s="771"/>
      <c r="G121" s="768"/>
      <c r="H121" s="768"/>
      <c r="I121" s="768"/>
    </row>
    <row r="122" spans="2:9" ht="16.5" customHeight="1" x14ac:dyDescent="0.2">
      <c r="B122" s="771"/>
      <c r="C122" s="771"/>
      <c r="D122" s="771"/>
      <c r="E122" s="771"/>
      <c r="F122" s="771"/>
      <c r="G122" s="768"/>
      <c r="H122" s="768"/>
      <c r="I122" s="768"/>
    </row>
    <row r="123" spans="2:9" ht="16.5" customHeight="1" x14ac:dyDescent="0.2">
      <c r="B123" s="771"/>
      <c r="C123" s="771"/>
      <c r="D123" s="771"/>
      <c r="E123" s="771"/>
      <c r="F123" s="771"/>
      <c r="G123" s="768"/>
      <c r="H123" s="768"/>
      <c r="I123" s="768"/>
    </row>
    <row r="124" spans="2:9" ht="16.5" customHeight="1" x14ac:dyDescent="0.2">
      <c r="B124" s="771"/>
      <c r="C124" s="771"/>
      <c r="D124" s="771"/>
      <c r="E124" s="771"/>
      <c r="F124" s="771"/>
      <c r="G124" s="768"/>
      <c r="H124" s="768"/>
      <c r="I124" s="768"/>
    </row>
    <row r="125" spans="2:9" ht="16.5" customHeight="1" x14ac:dyDescent="0.2">
      <c r="B125" s="771"/>
      <c r="C125" s="771"/>
      <c r="D125" s="771"/>
      <c r="E125" s="771"/>
      <c r="F125" s="771"/>
      <c r="G125" s="768"/>
      <c r="H125" s="768"/>
      <c r="I125" s="768"/>
    </row>
    <row r="126" spans="2:9" ht="16.5" customHeight="1" x14ac:dyDescent="0.2">
      <c r="B126" s="771"/>
      <c r="C126" s="771"/>
      <c r="D126" s="771"/>
      <c r="E126" s="771"/>
      <c r="F126" s="771"/>
      <c r="G126" s="768"/>
      <c r="H126" s="768"/>
      <c r="I126" s="768"/>
    </row>
    <row r="127" spans="2:9" ht="16.5" customHeight="1" x14ac:dyDescent="0.2">
      <c r="B127" s="771"/>
      <c r="C127" s="771"/>
      <c r="D127" s="771"/>
      <c r="E127" s="771"/>
      <c r="F127" s="771"/>
      <c r="G127" s="768"/>
      <c r="H127" s="768"/>
      <c r="I127" s="768"/>
    </row>
    <row r="128" spans="2:9" ht="16.5" customHeight="1" x14ac:dyDescent="0.2">
      <c r="B128" s="771"/>
      <c r="C128" s="771"/>
      <c r="D128" s="771"/>
      <c r="E128" s="771"/>
      <c r="F128" s="771"/>
      <c r="G128" s="768"/>
      <c r="H128" s="768"/>
      <c r="I128" s="768"/>
    </row>
    <row r="129" spans="2:9" ht="16.5" customHeight="1" x14ac:dyDescent="0.2">
      <c r="B129" s="771"/>
      <c r="C129" s="771"/>
      <c r="D129" s="771"/>
      <c r="E129" s="771"/>
      <c r="F129" s="771"/>
      <c r="G129" s="768"/>
      <c r="H129" s="768"/>
      <c r="I129" s="768"/>
    </row>
    <row r="130" spans="2:9" ht="16.5" customHeight="1" x14ac:dyDescent="0.2">
      <c r="B130" s="771"/>
      <c r="C130" s="771"/>
      <c r="D130" s="771"/>
      <c r="E130" s="771"/>
      <c r="F130" s="771"/>
      <c r="G130" s="768"/>
      <c r="H130" s="768"/>
      <c r="I130" s="768"/>
    </row>
    <row r="131" spans="2:9" ht="16.5" customHeight="1" x14ac:dyDescent="0.2">
      <c r="B131" s="771"/>
      <c r="C131" s="771"/>
      <c r="D131" s="771"/>
      <c r="E131" s="771"/>
      <c r="F131" s="771"/>
      <c r="G131" s="768"/>
      <c r="H131" s="768"/>
      <c r="I131" s="768"/>
    </row>
    <row r="132" spans="2:9" ht="16.5" customHeight="1" x14ac:dyDescent="0.2">
      <c r="B132" s="771"/>
      <c r="C132" s="771"/>
      <c r="D132" s="771"/>
      <c r="E132" s="771"/>
      <c r="F132" s="771"/>
      <c r="G132" s="768"/>
      <c r="H132" s="768"/>
      <c r="I132" s="768"/>
    </row>
    <row r="133" spans="2:9" ht="16.5" customHeight="1" x14ac:dyDescent="0.2">
      <c r="B133" s="771"/>
      <c r="C133" s="771"/>
      <c r="D133" s="771"/>
      <c r="E133" s="771"/>
      <c r="F133" s="771"/>
      <c r="G133" s="768"/>
      <c r="H133" s="768"/>
      <c r="I133" s="768"/>
    </row>
    <row r="134" spans="2:9" ht="16.5" customHeight="1" x14ac:dyDescent="0.2">
      <c r="B134" s="771"/>
      <c r="C134" s="771"/>
      <c r="D134" s="771"/>
      <c r="E134" s="771"/>
      <c r="F134" s="771"/>
      <c r="G134" s="768"/>
      <c r="H134" s="768"/>
      <c r="I134" s="768"/>
    </row>
    <row r="135" spans="2:9" ht="16.5" customHeight="1" x14ac:dyDescent="0.2">
      <c r="B135" s="771"/>
      <c r="C135" s="771"/>
      <c r="D135" s="771"/>
      <c r="E135" s="771"/>
      <c r="F135" s="771"/>
      <c r="G135" s="768"/>
      <c r="H135" s="768"/>
      <c r="I135" s="768"/>
    </row>
    <row r="136" spans="2:9" ht="16.5" customHeight="1" x14ac:dyDescent="0.2">
      <c r="B136" s="771"/>
      <c r="C136" s="771"/>
      <c r="D136" s="771"/>
      <c r="E136" s="771"/>
      <c r="F136" s="771"/>
      <c r="G136" s="768"/>
      <c r="H136" s="768"/>
      <c r="I136" s="768"/>
    </row>
    <row r="137" spans="2:9" ht="16.5" customHeight="1" x14ac:dyDescent="0.2">
      <c r="B137" s="771"/>
      <c r="C137" s="771"/>
      <c r="D137" s="771"/>
      <c r="E137" s="771"/>
      <c r="F137" s="771"/>
      <c r="G137" s="768"/>
      <c r="H137" s="768"/>
      <c r="I137" s="768"/>
    </row>
    <row r="138" spans="2:9" ht="16.5" customHeight="1" x14ac:dyDescent="0.2">
      <c r="B138" s="771"/>
      <c r="C138" s="771"/>
      <c r="D138" s="771"/>
      <c r="E138" s="771"/>
      <c r="F138" s="771"/>
      <c r="G138" s="768"/>
      <c r="H138" s="768"/>
      <c r="I138" s="768"/>
    </row>
    <row r="139" spans="2:9" ht="16.5" customHeight="1" x14ac:dyDescent="0.2">
      <c r="B139" s="771"/>
      <c r="C139" s="771"/>
      <c r="D139" s="771"/>
      <c r="E139" s="771"/>
      <c r="F139" s="771"/>
      <c r="G139" s="768"/>
      <c r="H139" s="768"/>
      <c r="I139" s="768"/>
    </row>
    <row r="140" spans="2:9" ht="16.5" customHeight="1" x14ac:dyDescent="0.2">
      <c r="B140" s="771"/>
      <c r="C140" s="771"/>
      <c r="D140" s="771"/>
      <c r="E140" s="771"/>
      <c r="F140" s="771"/>
      <c r="G140" s="768"/>
      <c r="H140" s="768"/>
      <c r="I140" s="768"/>
    </row>
    <row r="141" spans="2:9" ht="16.5" customHeight="1" x14ac:dyDescent="0.2">
      <c r="B141" s="771"/>
      <c r="C141" s="771"/>
      <c r="D141" s="771"/>
      <c r="E141" s="771"/>
      <c r="F141" s="771"/>
      <c r="G141" s="768"/>
      <c r="H141" s="768"/>
      <c r="I141" s="768"/>
    </row>
    <row r="142" spans="2:9" ht="16.5" customHeight="1" x14ac:dyDescent="0.2">
      <c r="B142" s="771"/>
      <c r="C142" s="771"/>
      <c r="D142" s="771"/>
      <c r="E142" s="771"/>
      <c r="F142" s="771"/>
      <c r="G142" s="768"/>
      <c r="H142" s="768"/>
      <c r="I142" s="768"/>
    </row>
    <row r="143" spans="2:9" ht="16.5" customHeight="1" x14ac:dyDescent="0.2">
      <c r="B143" s="771"/>
      <c r="C143" s="771"/>
      <c r="D143" s="771"/>
      <c r="E143" s="771"/>
      <c r="F143" s="771"/>
      <c r="G143" s="768"/>
      <c r="H143" s="768"/>
      <c r="I143" s="768"/>
    </row>
    <row r="144" spans="2:9" ht="16.5" customHeight="1" x14ac:dyDescent="0.2">
      <c r="B144" s="771"/>
      <c r="C144" s="771"/>
      <c r="D144" s="771"/>
      <c r="E144" s="771"/>
      <c r="F144" s="771"/>
      <c r="G144" s="768"/>
      <c r="H144" s="768"/>
      <c r="I144" s="768"/>
    </row>
    <row r="145" spans="2:9" ht="16.5" customHeight="1" x14ac:dyDescent="0.2">
      <c r="B145" s="771"/>
      <c r="C145" s="771"/>
      <c r="D145" s="771"/>
      <c r="E145" s="771"/>
      <c r="F145" s="771"/>
      <c r="G145" s="768"/>
      <c r="H145" s="768"/>
      <c r="I145" s="768"/>
    </row>
    <row r="146" spans="2:9" ht="16.5" customHeight="1" x14ac:dyDescent="0.2">
      <c r="B146" s="771"/>
      <c r="C146" s="771"/>
      <c r="D146" s="771"/>
      <c r="E146" s="771"/>
      <c r="F146" s="771"/>
      <c r="G146" s="768"/>
      <c r="H146" s="768"/>
      <c r="I146" s="768"/>
    </row>
    <row r="147" spans="2:9" ht="16.5" customHeight="1" x14ac:dyDescent="0.2">
      <c r="B147" s="771"/>
      <c r="C147" s="771"/>
      <c r="D147" s="771"/>
      <c r="E147" s="771"/>
      <c r="F147" s="771"/>
      <c r="G147" s="768"/>
      <c r="H147" s="768"/>
      <c r="I147" s="768"/>
    </row>
    <row r="148" spans="2:9" ht="16.5" customHeight="1" x14ac:dyDescent="0.2">
      <c r="B148" s="771"/>
      <c r="C148" s="771"/>
      <c r="D148" s="771"/>
      <c r="E148" s="771"/>
      <c r="F148" s="771"/>
      <c r="G148" s="768"/>
      <c r="H148" s="768"/>
      <c r="I148" s="768"/>
    </row>
    <row r="149" spans="2:9" ht="16.5" customHeight="1" x14ac:dyDescent="0.2">
      <c r="B149" s="771"/>
      <c r="C149" s="771"/>
      <c r="D149" s="771"/>
      <c r="E149" s="771"/>
      <c r="F149" s="771"/>
      <c r="G149" s="768"/>
      <c r="H149" s="768"/>
      <c r="I149" s="768"/>
    </row>
    <row r="150" spans="2:9" ht="16.5" customHeight="1" x14ac:dyDescent="0.2">
      <c r="B150" s="771"/>
      <c r="C150" s="771"/>
      <c r="D150" s="771"/>
      <c r="E150" s="771"/>
      <c r="F150" s="771"/>
      <c r="G150" s="768"/>
      <c r="H150" s="768"/>
      <c r="I150" s="768"/>
    </row>
    <row r="151" spans="2:9" ht="16.5" customHeight="1" x14ac:dyDescent="0.2">
      <c r="B151" s="771"/>
      <c r="C151" s="771"/>
      <c r="D151" s="771"/>
      <c r="E151" s="771"/>
      <c r="F151" s="771"/>
      <c r="G151" s="768"/>
      <c r="H151" s="768"/>
      <c r="I151" s="768"/>
    </row>
    <row r="152" spans="2:9" ht="16.5" customHeight="1" x14ac:dyDescent="0.2">
      <c r="B152" s="771"/>
      <c r="C152" s="771"/>
      <c r="D152" s="771"/>
      <c r="E152" s="771"/>
      <c r="F152" s="771"/>
      <c r="G152" s="768"/>
      <c r="H152" s="768"/>
      <c r="I152" s="768"/>
    </row>
    <row r="153" spans="2:9" ht="16.5" customHeight="1" x14ac:dyDescent="0.2">
      <c r="B153" s="771"/>
      <c r="C153" s="771"/>
      <c r="D153" s="771"/>
      <c r="E153" s="771"/>
      <c r="F153" s="771"/>
      <c r="G153" s="768"/>
      <c r="H153" s="768"/>
      <c r="I153" s="768"/>
    </row>
    <row r="154" spans="2:9" ht="16.5" customHeight="1" x14ac:dyDescent="0.2">
      <c r="B154" s="771"/>
      <c r="C154" s="771"/>
      <c r="D154" s="771"/>
      <c r="E154" s="771"/>
      <c r="F154" s="771"/>
      <c r="G154" s="768"/>
      <c r="H154" s="768"/>
      <c r="I154" s="768"/>
    </row>
    <row r="155" spans="2:9" ht="16.5" customHeight="1" x14ac:dyDescent="0.2">
      <c r="B155" s="771"/>
      <c r="C155" s="771"/>
      <c r="D155" s="771"/>
      <c r="E155" s="771"/>
      <c r="F155" s="771"/>
      <c r="G155" s="768"/>
      <c r="H155" s="768"/>
      <c r="I155" s="768"/>
    </row>
    <row r="156" spans="2:9" ht="16.5" customHeight="1" x14ac:dyDescent="0.2">
      <c r="B156" s="771"/>
      <c r="C156" s="771"/>
      <c r="D156" s="771"/>
      <c r="E156" s="771"/>
      <c r="F156" s="771"/>
      <c r="G156" s="768"/>
      <c r="H156" s="768"/>
      <c r="I156" s="768"/>
    </row>
    <row r="157" spans="2:9" ht="16.5" customHeight="1" x14ac:dyDescent="0.2">
      <c r="B157" s="771"/>
      <c r="C157" s="771"/>
      <c r="D157" s="771"/>
      <c r="E157" s="771"/>
      <c r="F157" s="771"/>
      <c r="G157" s="768"/>
      <c r="H157" s="768"/>
      <c r="I157" s="768"/>
    </row>
    <row r="158" spans="2:9" ht="16.5" customHeight="1" x14ac:dyDescent="0.2">
      <c r="B158" s="771"/>
      <c r="C158" s="771"/>
      <c r="D158" s="771"/>
      <c r="E158" s="771"/>
      <c r="F158" s="771"/>
      <c r="G158" s="768"/>
      <c r="H158" s="768"/>
      <c r="I158" s="768"/>
    </row>
    <row r="159" spans="2:9" ht="16.5" customHeight="1" x14ac:dyDescent="0.2">
      <c r="B159" s="771"/>
      <c r="C159" s="771"/>
      <c r="D159" s="771"/>
      <c r="E159" s="771"/>
      <c r="F159" s="771"/>
      <c r="G159" s="768"/>
      <c r="H159" s="768"/>
      <c r="I159" s="768"/>
    </row>
    <row r="160" spans="2:9" ht="16.5" customHeight="1" x14ac:dyDescent="0.2">
      <c r="B160" s="771"/>
      <c r="C160" s="771"/>
      <c r="D160" s="771"/>
      <c r="E160" s="771"/>
      <c r="F160" s="771"/>
      <c r="G160" s="768"/>
      <c r="H160" s="768"/>
      <c r="I160" s="768"/>
    </row>
    <row r="161" spans="2:9" ht="16.5" customHeight="1" x14ac:dyDescent="0.2">
      <c r="B161" s="771"/>
      <c r="C161" s="771"/>
      <c r="D161" s="771"/>
      <c r="E161" s="771"/>
      <c r="F161" s="771"/>
      <c r="G161" s="768"/>
      <c r="H161" s="768"/>
      <c r="I161" s="768"/>
    </row>
    <row r="162" spans="2:9" ht="16.5" customHeight="1" x14ac:dyDescent="0.2">
      <c r="B162" s="771"/>
      <c r="C162" s="771"/>
      <c r="D162" s="771"/>
      <c r="E162" s="771"/>
      <c r="F162" s="771"/>
      <c r="G162" s="768"/>
      <c r="H162" s="768"/>
      <c r="I162" s="768"/>
    </row>
    <row r="163" spans="2:9" ht="16.5" customHeight="1" x14ac:dyDescent="0.2">
      <c r="B163" s="771"/>
      <c r="C163" s="771"/>
      <c r="D163" s="771"/>
      <c r="E163" s="771"/>
      <c r="F163" s="771"/>
      <c r="G163" s="768"/>
      <c r="H163" s="768"/>
      <c r="I163" s="768"/>
    </row>
    <row r="164" spans="2:9" ht="16.5" customHeight="1" x14ac:dyDescent="0.2">
      <c r="B164" s="771"/>
      <c r="C164" s="771"/>
      <c r="D164" s="771"/>
      <c r="E164" s="771"/>
      <c r="F164" s="771"/>
      <c r="G164" s="768"/>
      <c r="H164" s="768"/>
      <c r="I164" s="768"/>
    </row>
    <row r="165" spans="2:9" ht="16.5" customHeight="1" x14ac:dyDescent="0.2">
      <c r="B165" s="771"/>
      <c r="C165" s="771"/>
      <c r="D165" s="771"/>
      <c r="E165" s="771"/>
      <c r="F165" s="771"/>
      <c r="G165" s="768"/>
      <c r="H165" s="768"/>
      <c r="I165" s="768"/>
    </row>
    <row r="166" spans="2:9" ht="16.5" customHeight="1" x14ac:dyDescent="0.2">
      <c r="B166" s="771"/>
      <c r="C166" s="771"/>
      <c r="D166" s="771"/>
      <c r="E166" s="771"/>
      <c r="F166" s="771"/>
      <c r="G166" s="768"/>
      <c r="H166" s="768"/>
      <c r="I166" s="768"/>
    </row>
    <row r="167" spans="2:9" ht="16.5" customHeight="1" x14ac:dyDescent="0.2">
      <c r="B167" s="771"/>
      <c r="C167" s="771"/>
      <c r="D167" s="771"/>
      <c r="E167" s="771"/>
      <c r="F167" s="771"/>
      <c r="G167" s="768"/>
      <c r="H167" s="768"/>
      <c r="I167" s="768"/>
    </row>
    <row r="168" spans="2:9" ht="16.5" customHeight="1" x14ac:dyDescent="0.2">
      <c r="B168" s="771"/>
      <c r="C168" s="771"/>
      <c r="D168" s="771"/>
      <c r="E168" s="771"/>
      <c r="F168" s="771"/>
      <c r="G168" s="768"/>
      <c r="H168" s="768"/>
      <c r="I168" s="768"/>
    </row>
    <row r="169" spans="2:9" ht="16.5" customHeight="1" x14ac:dyDescent="0.2">
      <c r="B169" s="771"/>
      <c r="C169" s="771"/>
      <c r="D169" s="771"/>
      <c r="E169" s="771"/>
      <c r="F169" s="771"/>
      <c r="G169" s="768"/>
      <c r="H169" s="768"/>
      <c r="I169" s="768"/>
    </row>
    <row r="170" spans="2:9" ht="16.5" customHeight="1" x14ac:dyDescent="0.2">
      <c r="B170" s="771"/>
      <c r="C170" s="771"/>
      <c r="D170" s="771"/>
      <c r="E170" s="771"/>
      <c r="F170" s="771"/>
      <c r="G170" s="768"/>
      <c r="H170" s="768"/>
      <c r="I170" s="768"/>
    </row>
    <row r="171" spans="2:9" ht="16.5" customHeight="1" x14ac:dyDescent="0.2">
      <c r="B171" s="771"/>
      <c r="C171" s="771"/>
      <c r="D171" s="771"/>
      <c r="E171" s="771"/>
      <c r="F171" s="771"/>
      <c r="G171" s="768"/>
      <c r="H171" s="768"/>
      <c r="I171" s="768"/>
    </row>
    <row r="172" spans="2:9" ht="16.5" customHeight="1" x14ac:dyDescent="0.2">
      <c r="B172" s="771"/>
      <c r="C172" s="771"/>
      <c r="D172" s="771"/>
      <c r="E172" s="771"/>
      <c r="F172" s="771"/>
      <c r="G172" s="768"/>
      <c r="H172" s="768"/>
      <c r="I172" s="768"/>
    </row>
    <row r="173" spans="2:9" ht="16.5" customHeight="1" x14ac:dyDescent="0.2">
      <c r="B173" s="771"/>
      <c r="C173" s="771"/>
      <c r="D173" s="771"/>
      <c r="E173" s="771"/>
      <c r="F173" s="771"/>
      <c r="G173" s="768"/>
      <c r="H173" s="768"/>
      <c r="I173" s="768"/>
    </row>
    <row r="174" spans="2:9" ht="16.5" customHeight="1" x14ac:dyDescent="0.2">
      <c r="B174" s="771"/>
      <c r="C174" s="771"/>
      <c r="D174" s="771"/>
      <c r="E174" s="771"/>
      <c r="F174" s="771"/>
      <c r="G174" s="768"/>
      <c r="H174" s="768"/>
      <c r="I174" s="768"/>
    </row>
    <row r="175" spans="2:9" ht="16.5" customHeight="1" x14ac:dyDescent="0.2">
      <c r="B175" s="771"/>
      <c r="C175" s="771"/>
      <c r="D175" s="771"/>
      <c r="E175" s="771"/>
      <c r="F175" s="771"/>
      <c r="G175" s="768"/>
      <c r="H175" s="768"/>
      <c r="I175" s="768"/>
    </row>
    <row r="176" spans="2:9" ht="16.5" customHeight="1" x14ac:dyDescent="0.2">
      <c r="B176" s="771"/>
      <c r="C176" s="771"/>
      <c r="D176" s="771"/>
      <c r="E176" s="771"/>
      <c r="F176" s="771"/>
      <c r="G176" s="768"/>
      <c r="H176" s="768"/>
      <c r="I176" s="768"/>
    </row>
    <row r="177" spans="2:9" ht="16.5" customHeight="1" x14ac:dyDescent="0.2">
      <c r="B177" s="771"/>
      <c r="C177" s="771"/>
      <c r="D177" s="771"/>
      <c r="E177" s="771"/>
      <c r="F177" s="771"/>
      <c r="G177" s="768"/>
      <c r="H177" s="768"/>
      <c r="I177" s="768"/>
    </row>
    <row r="178" spans="2:9" ht="16.5" customHeight="1" x14ac:dyDescent="0.2">
      <c r="B178" s="771"/>
      <c r="C178" s="771"/>
      <c r="D178" s="771"/>
      <c r="E178" s="771"/>
      <c r="F178" s="771"/>
      <c r="G178" s="768"/>
      <c r="H178" s="768"/>
      <c r="I178" s="768"/>
    </row>
    <row r="179" spans="2:9" ht="16.5" customHeight="1" x14ac:dyDescent="0.2">
      <c r="B179" s="771"/>
      <c r="C179" s="771"/>
      <c r="D179" s="771"/>
      <c r="E179" s="771"/>
      <c r="F179" s="771"/>
      <c r="G179" s="768"/>
      <c r="H179" s="768"/>
      <c r="I179" s="768"/>
    </row>
    <row r="180" spans="2:9" ht="16.5" customHeight="1" x14ac:dyDescent="0.2">
      <c r="B180" s="771"/>
      <c r="C180" s="771"/>
      <c r="D180" s="771"/>
      <c r="E180" s="771"/>
      <c r="F180" s="771"/>
      <c r="G180" s="768"/>
      <c r="H180" s="768"/>
      <c r="I180" s="768"/>
    </row>
    <row r="181" spans="2:9" ht="16.5" customHeight="1" x14ac:dyDescent="0.2">
      <c r="B181" s="771"/>
      <c r="C181" s="771"/>
      <c r="D181" s="771"/>
      <c r="E181" s="771"/>
      <c r="F181" s="771"/>
      <c r="G181" s="768"/>
      <c r="H181" s="768"/>
      <c r="I181" s="768"/>
    </row>
    <row r="182" spans="2:9" ht="16.5" customHeight="1" x14ac:dyDescent="0.2">
      <c r="B182" s="771"/>
      <c r="C182" s="771"/>
      <c r="D182" s="771"/>
      <c r="E182" s="771"/>
      <c r="F182" s="771"/>
      <c r="G182" s="768"/>
      <c r="H182" s="768"/>
      <c r="I182" s="768"/>
    </row>
    <row r="183" spans="2:9" ht="16.5" customHeight="1" x14ac:dyDescent="0.2">
      <c r="B183" s="771"/>
      <c r="C183" s="771"/>
      <c r="D183" s="771"/>
      <c r="E183" s="771"/>
      <c r="F183" s="771"/>
      <c r="G183" s="768"/>
      <c r="H183" s="768"/>
      <c r="I183" s="768"/>
    </row>
    <row r="184" spans="2:9" ht="16.5" customHeight="1" x14ac:dyDescent="0.2">
      <c r="B184" s="771"/>
      <c r="C184" s="771"/>
      <c r="D184" s="771"/>
      <c r="E184" s="771"/>
      <c r="F184" s="771"/>
      <c r="G184" s="768"/>
      <c r="H184" s="768"/>
      <c r="I184" s="768"/>
    </row>
    <row r="185" spans="2:9" ht="16.5" customHeight="1" x14ac:dyDescent="0.2">
      <c r="B185" s="771"/>
      <c r="C185" s="771"/>
      <c r="D185" s="771"/>
      <c r="E185" s="771"/>
      <c r="F185" s="771"/>
      <c r="G185" s="768"/>
      <c r="H185" s="768"/>
      <c r="I185" s="768"/>
    </row>
    <row r="186" spans="2:9" ht="16.5" customHeight="1" x14ac:dyDescent="0.2">
      <c r="B186" s="771"/>
      <c r="C186" s="771"/>
      <c r="D186" s="771"/>
      <c r="E186" s="771"/>
      <c r="F186" s="771"/>
      <c r="G186" s="768"/>
      <c r="H186" s="768"/>
      <c r="I186" s="768"/>
    </row>
    <row r="187" spans="2:9" ht="16.5" customHeight="1" x14ac:dyDescent="0.2">
      <c r="B187" s="771"/>
      <c r="C187" s="771"/>
      <c r="D187" s="771"/>
      <c r="E187" s="771"/>
      <c r="F187" s="771"/>
      <c r="G187" s="768"/>
      <c r="H187" s="768"/>
      <c r="I187" s="768"/>
    </row>
    <row r="188" spans="2:9" ht="16.5" customHeight="1" x14ac:dyDescent="0.2">
      <c r="B188" s="771"/>
      <c r="C188" s="771"/>
      <c r="D188" s="771"/>
      <c r="E188" s="771"/>
      <c r="F188" s="771"/>
      <c r="G188" s="768"/>
      <c r="H188" s="768"/>
      <c r="I188" s="768"/>
    </row>
    <row r="189" spans="2:9" ht="16.5" customHeight="1" x14ac:dyDescent="0.2">
      <c r="B189" s="771"/>
      <c r="C189" s="771"/>
      <c r="D189" s="771"/>
      <c r="E189" s="771"/>
      <c r="F189" s="771"/>
      <c r="G189" s="768"/>
      <c r="H189" s="768"/>
      <c r="I189" s="768"/>
    </row>
    <row r="190" spans="2:9" ht="16.5" customHeight="1" x14ac:dyDescent="0.2">
      <c r="B190" s="771"/>
      <c r="C190" s="771"/>
      <c r="D190" s="771"/>
      <c r="E190" s="771"/>
      <c r="F190" s="771"/>
      <c r="G190" s="768"/>
      <c r="H190" s="768"/>
      <c r="I190" s="768"/>
    </row>
    <row r="191" spans="2:9" ht="16.5" customHeight="1" x14ac:dyDescent="0.2">
      <c r="B191" s="771"/>
      <c r="C191" s="771"/>
      <c r="D191" s="771"/>
      <c r="E191" s="771"/>
      <c r="F191" s="771"/>
      <c r="G191" s="768"/>
      <c r="H191" s="768"/>
      <c r="I191" s="768"/>
    </row>
    <row r="192" spans="2:9" ht="16.5" customHeight="1" x14ac:dyDescent="0.2">
      <c r="B192" s="771"/>
      <c r="C192" s="771"/>
      <c r="D192" s="771"/>
      <c r="E192" s="771"/>
      <c r="F192" s="771"/>
      <c r="G192" s="768"/>
      <c r="H192" s="768"/>
      <c r="I192" s="768"/>
    </row>
    <row r="193" spans="2:9" ht="16.5" customHeight="1" x14ac:dyDescent="0.2">
      <c r="B193" s="771"/>
      <c r="C193" s="771"/>
      <c r="D193" s="771"/>
      <c r="E193" s="771"/>
      <c r="F193" s="771"/>
      <c r="G193" s="768"/>
      <c r="H193" s="768"/>
      <c r="I193" s="768"/>
    </row>
    <row r="194" spans="2:9" ht="16.5" customHeight="1" x14ac:dyDescent="0.2">
      <c r="B194" s="771"/>
      <c r="C194" s="771"/>
      <c r="D194" s="771"/>
      <c r="E194" s="771"/>
      <c r="F194" s="771"/>
      <c r="G194" s="768"/>
      <c r="H194" s="768"/>
      <c r="I194" s="768"/>
    </row>
    <row r="195" spans="2:9" ht="16.5" customHeight="1" x14ac:dyDescent="0.2">
      <c r="B195" s="771"/>
      <c r="C195" s="771"/>
      <c r="D195" s="771"/>
      <c r="E195" s="771"/>
      <c r="F195" s="771"/>
      <c r="G195" s="768"/>
      <c r="H195" s="768"/>
      <c r="I195" s="768"/>
    </row>
    <row r="196" spans="2:9" ht="16.5" customHeight="1" x14ac:dyDescent="0.2">
      <c r="B196" s="771"/>
      <c r="C196" s="771"/>
      <c r="D196" s="771"/>
      <c r="E196" s="771"/>
      <c r="F196" s="771"/>
      <c r="G196" s="768"/>
      <c r="H196" s="768"/>
      <c r="I196" s="768"/>
    </row>
    <row r="197" spans="2:9" ht="16.5" customHeight="1" x14ac:dyDescent="0.2">
      <c r="B197" s="771"/>
      <c r="C197" s="771"/>
      <c r="D197" s="771"/>
      <c r="E197" s="771"/>
      <c r="F197" s="771"/>
      <c r="G197" s="768"/>
      <c r="H197" s="768"/>
      <c r="I197" s="768"/>
    </row>
    <row r="198" spans="2:9" ht="16.5" customHeight="1" x14ac:dyDescent="0.2">
      <c r="B198" s="771"/>
      <c r="C198" s="771"/>
      <c r="D198" s="771"/>
      <c r="E198" s="771"/>
      <c r="F198" s="771"/>
      <c r="G198" s="768"/>
      <c r="H198" s="768"/>
      <c r="I198" s="768"/>
    </row>
    <row r="199" spans="2:9" ht="16.5" customHeight="1" x14ac:dyDescent="0.2">
      <c r="B199" s="771"/>
      <c r="C199" s="771"/>
      <c r="D199" s="771"/>
      <c r="E199" s="771"/>
      <c r="F199" s="771"/>
      <c r="G199" s="768"/>
      <c r="H199" s="768"/>
      <c r="I199" s="768"/>
    </row>
    <row r="200" spans="2:9" ht="16.5" customHeight="1" x14ac:dyDescent="0.2">
      <c r="B200" s="771"/>
      <c r="C200" s="771"/>
      <c r="D200" s="771"/>
      <c r="E200" s="771"/>
      <c r="F200" s="771"/>
      <c r="G200" s="768"/>
      <c r="H200" s="768"/>
      <c r="I200" s="768"/>
    </row>
    <row r="201" spans="2:9" ht="16.5" customHeight="1" x14ac:dyDescent="0.2">
      <c r="B201" s="771"/>
      <c r="C201" s="771"/>
      <c r="D201" s="771"/>
      <c r="E201" s="771"/>
      <c r="F201" s="771"/>
      <c r="G201" s="768"/>
      <c r="H201" s="768"/>
      <c r="I201" s="768"/>
    </row>
    <row r="202" spans="2:9" ht="16.5" customHeight="1" x14ac:dyDescent="0.2">
      <c r="B202" s="771"/>
      <c r="C202" s="771"/>
      <c r="D202" s="771"/>
      <c r="E202" s="771"/>
      <c r="F202" s="771"/>
      <c r="G202" s="768"/>
      <c r="H202" s="768"/>
      <c r="I202" s="768"/>
    </row>
    <row r="203" spans="2:9" ht="16.5" customHeight="1" x14ac:dyDescent="0.2">
      <c r="B203" s="771"/>
      <c r="C203" s="771"/>
      <c r="D203" s="771"/>
      <c r="E203" s="771"/>
      <c r="F203" s="771"/>
      <c r="G203" s="768"/>
      <c r="H203" s="768"/>
      <c r="I203" s="768"/>
    </row>
    <row r="204" spans="2:9" ht="16.5" customHeight="1" x14ac:dyDescent="0.2">
      <c r="B204" s="771"/>
      <c r="C204" s="771"/>
      <c r="D204" s="771"/>
      <c r="E204" s="771"/>
      <c r="F204" s="771"/>
      <c r="G204" s="768"/>
      <c r="H204" s="768"/>
      <c r="I204" s="768"/>
    </row>
    <row r="205" spans="2:9" ht="16.5" customHeight="1" x14ac:dyDescent="0.2">
      <c r="B205" s="771"/>
      <c r="C205" s="771"/>
      <c r="D205" s="771"/>
      <c r="E205" s="771"/>
      <c r="F205" s="771"/>
      <c r="G205" s="768"/>
      <c r="H205" s="768"/>
      <c r="I205" s="768"/>
    </row>
    <row r="206" spans="2:9" ht="16.5" customHeight="1" x14ac:dyDescent="0.2">
      <c r="B206" s="771"/>
      <c r="C206" s="771"/>
      <c r="D206" s="771"/>
      <c r="E206" s="771"/>
      <c r="F206" s="771"/>
      <c r="G206" s="768"/>
      <c r="H206" s="768"/>
      <c r="I206" s="768"/>
    </row>
    <row r="207" spans="2:9" ht="16.5" customHeight="1" x14ac:dyDescent="0.2">
      <c r="B207" s="771"/>
      <c r="C207" s="771"/>
      <c r="D207" s="771"/>
      <c r="E207" s="771"/>
      <c r="F207" s="771"/>
      <c r="G207" s="768"/>
      <c r="H207" s="768"/>
      <c r="I207" s="768"/>
    </row>
    <row r="208" spans="2:9" ht="16.5" customHeight="1" x14ac:dyDescent="0.2">
      <c r="B208" s="771"/>
      <c r="C208" s="771"/>
      <c r="D208" s="771"/>
      <c r="E208" s="771"/>
      <c r="F208" s="771"/>
      <c r="G208" s="768"/>
      <c r="H208" s="768"/>
      <c r="I208" s="768"/>
    </row>
    <row r="209" spans="2:9" ht="16.5" customHeight="1" x14ac:dyDescent="0.2">
      <c r="B209" s="771"/>
      <c r="C209" s="771"/>
      <c r="D209" s="771"/>
      <c r="E209" s="771"/>
      <c r="F209" s="771"/>
      <c r="G209" s="768"/>
      <c r="H209" s="768"/>
      <c r="I209" s="768"/>
    </row>
    <row r="210" spans="2:9" ht="16.5" customHeight="1" x14ac:dyDescent="0.2">
      <c r="B210" s="771"/>
      <c r="C210" s="771"/>
      <c r="D210" s="771"/>
      <c r="E210" s="771"/>
      <c r="F210" s="771"/>
      <c r="G210" s="768"/>
      <c r="H210" s="768"/>
      <c r="I210" s="768"/>
    </row>
    <row r="211" spans="2:9" ht="16.5" customHeight="1" x14ac:dyDescent="0.2">
      <c r="B211" s="771"/>
      <c r="C211" s="771"/>
      <c r="D211" s="771"/>
      <c r="E211" s="771"/>
      <c r="F211" s="771"/>
      <c r="G211" s="768"/>
      <c r="H211" s="768"/>
      <c r="I211" s="768"/>
    </row>
    <row r="212" spans="2:9" ht="16.5" customHeight="1" x14ac:dyDescent="0.2">
      <c r="B212" s="771"/>
      <c r="C212" s="771"/>
      <c r="D212" s="771"/>
      <c r="E212" s="771"/>
      <c r="F212" s="771"/>
      <c r="G212" s="768"/>
      <c r="H212" s="768"/>
      <c r="I212" s="768"/>
    </row>
    <row r="213" spans="2:9" ht="16.5" customHeight="1" x14ac:dyDescent="0.2">
      <c r="B213" s="771"/>
      <c r="C213" s="771"/>
      <c r="D213" s="771"/>
      <c r="E213" s="771"/>
      <c r="F213" s="771"/>
      <c r="G213" s="768"/>
      <c r="H213" s="768"/>
      <c r="I213" s="768"/>
    </row>
    <row r="214" spans="2:9" ht="16.5" customHeight="1" x14ac:dyDescent="0.2">
      <c r="B214" s="771"/>
      <c r="C214" s="771"/>
      <c r="D214" s="771"/>
      <c r="E214" s="771"/>
      <c r="F214" s="771"/>
      <c r="G214" s="768"/>
      <c r="H214" s="768"/>
      <c r="I214" s="768"/>
    </row>
    <row r="215" spans="2:9" ht="16.5" customHeight="1" x14ac:dyDescent="0.2">
      <c r="B215" s="771"/>
      <c r="C215" s="771"/>
      <c r="D215" s="771"/>
      <c r="E215" s="771"/>
      <c r="F215" s="771"/>
      <c r="G215" s="768"/>
      <c r="H215" s="768"/>
      <c r="I215" s="768"/>
    </row>
    <row r="216" spans="2:9" ht="16.5" customHeight="1" x14ac:dyDescent="0.2">
      <c r="B216" s="771"/>
      <c r="C216" s="771"/>
      <c r="D216" s="771"/>
      <c r="E216" s="771"/>
      <c r="F216" s="771"/>
      <c r="G216" s="768"/>
      <c r="H216" s="768"/>
      <c r="I216" s="768"/>
    </row>
    <row r="217" spans="2:9" ht="16.5" customHeight="1" x14ac:dyDescent="0.2">
      <c r="B217" s="771"/>
      <c r="C217" s="771"/>
      <c r="D217" s="771"/>
      <c r="E217" s="771"/>
      <c r="F217" s="771"/>
      <c r="G217" s="768"/>
      <c r="H217" s="768"/>
      <c r="I217" s="768"/>
    </row>
    <row r="218" spans="2:9" ht="16.5" customHeight="1" x14ac:dyDescent="0.2">
      <c r="B218" s="771"/>
      <c r="C218" s="771"/>
      <c r="D218" s="771"/>
      <c r="E218" s="771"/>
      <c r="F218" s="771"/>
      <c r="G218" s="768"/>
      <c r="H218" s="768"/>
      <c r="I218" s="768"/>
    </row>
    <row r="219" spans="2:9" ht="16.5" customHeight="1" x14ac:dyDescent="0.2">
      <c r="B219" s="771"/>
      <c r="C219" s="771"/>
      <c r="D219" s="771"/>
      <c r="E219" s="771"/>
      <c r="F219" s="771"/>
      <c r="G219" s="768"/>
      <c r="H219" s="768"/>
      <c r="I219" s="768"/>
    </row>
    <row r="220" spans="2:9" ht="16.5" customHeight="1" x14ac:dyDescent="0.2">
      <c r="B220" s="771"/>
      <c r="C220" s="771"/>
      <c r="D220" s="771"/>
      <c r="E220" s="771"/>
      <c r="F220" s="771"/>
      <c r="G220" s="768"/>
      <c r="H220" s="768"/>
      <c r="I220" s="768"/>
    </row>
    <row r="221" spans="2:9" ht="16.5" customHeight="1" x14ac:dyDescent="0.2">
      <c r="B221" s="771"/>
      <c r="C221" s="771"/>
      <c r="D221" s="771"/>
      <c r="E221" s="771"/>
      <c r="F221" s="771"/>
      <c r="G221" s="768"/>
      <c r="H221" s="768"/>
      <c r="I221" s="768"/>
    </row>
    <row r="222" spans="2:9" ht="16.5" customHeight="1" x14ac:dyDescent="0.2">
      <c r="B222" s="771"/>
      <c r="C222" s="771"/>
      <c r="D222" s="771"/>
      <c r="E222" s="771"/>
      <c r="F222" s="771"/>
      <c r="G222" s="768"/>
      <c r="H222" s="768"/>
      <c r="I222" s="768"/>
    </row>
    <row r="223" spans="2:9" ht="16.5" customHeight="1" x14ac:dyDescent="0.2">
      <c r="B223" s="771"/>
      <c r="C223" s="771"/>
      <c r="D223" s="771"/>
      <c r="E223" s="771"/>
      <c r="F223" s="771"/>
      <c r="G223" s="768"/>
      <c r="H223" s="768"/>
      <c r="I223" s="768"/>
    </row>
    <row r="224" spans="2:9" ht="16.5" customHeight="1" x14ac:dyDescent="0.2">
      <c r="B224" s="771"/>
      <c r="C224" s="771"/>
      <c r="D224" s="771"/>
      <c r="E224" s="771"/>
      <c r="F224" s="771"/>
      <c r="G224" s="768"/>
      <c r="H224" s="768"/>
      <c r="I224" s="768"/>
    </row>
    <row r="225" spans="2:9" ht="16.5" customHeight="1" x14ac:dyDescent="0.2">
      <c r="B225" s="771"/>
      <c r="C225" s="771"/>
      <c r="D225" s="771"/>
      <c r="E225" s="771"/>
      <c r="F225" s="771"/>
      <c r="G225" s="768"/>
      <c r="H225" s="768"/>
      <c r="I225" s="768"/>
    </row>
    <row r="226" spans="2:9" ht="16.5" customHeight="1" x14ac:dyDescent="0.2">
      <c r="B226" s="771"/>
      <c r="C226" s="771"/>
      <c r="D226" s="771"/>
      <c r="E226" s="771"/>
      <c r="F226" s="771"/>
      <c r="G226" s="768"/>
      <c r="H226" s="768"/>
      <c r="I226" s="768"/>
    </row>
    <row r="227" spans="2:9" ht="16.5" customHeight="1" x14ac:dyDescent="0.2">
      <c r="B227" s="771"/>
      <c r="C227" s="771"/>
      <c r="D227" s="771"/>
      <c r="E227" s="771"/>
      <c r="F227" s="771"/>
      <c r="G227" s="768"/>
      <c r="H227" s="768"/>
      <c r="I227" s="768"/>
    </row>
    <row r="228" spans="2:9" ht="16.5" customHeight="1" x14ac:dyDescent="0.2">
      <c r="B228" s="771"/>
      <c r="C228" s="771"/>
      <c r="D228" s="771"/>
      <c r="E228" s="771"/>
      <c r="F228" s="771"/>
      <c r="G228" s="768"/>
      <c r="H228" s="768"/>
      <c r="I228" s="768"/>
    </row>
    <row r="229" spans="2:9" ht="16.5" customHeight="1" x14ac:dyDescent="0.2">
      <c r="B229" s="771"/>
      <c r="C229" s="771"/>
      <c r="D229" s="771"/>
      <c r="E229" s="771"/>
      <c r="F229" s="771"/>
      <c r="G229" s="768"/>
      <c r="H229" s="768"/>
      <c r="I229" s="768"/>
    </row>
    <row r="230" spans="2:9" ht="16.5" customHeight="1" x14ac:dyDescent="0.2">
      <c r="B230" s="771"/>
      <c r="C230" s="771"/>
      <c r="D230" s="771"/>
      <c r="E230" s="771"/>
      <c r="F230" s="771"/>
      <c r="G230" s="768"/>
      <c r="H230" s="768"/>
      <c r="I230" s="768"/>
    </row>
    <row r="231" spans="2:9" ht="16.5" customHeight="1" x14ac:dyDescent="0.2">
      <c r="B231" s="771"/>
      <c r="C231" s="771"/>
      <c r="D231" s="771"/>
      <c r="E231" s="771"/>
      <c r="F231" s="771"/>
      <c r="G231" s="768"/>
      <c r="H231" s="768"/>
      <c r="I231" s="768"/>
    </row>
    <row r="232" spans="2:9" ht="16.5" customHeight="1" x14ac:dyDescent="0.2">
      <c r="B232" s="771"/>
      <c r="C232" s="771"/>
      <c r="D232" s="771"/>
      <c r="E232" s="771"/>
      <c r="F232" s="771"/>
      <c r="G232" s="768"/>
      <c r="H232" s="768"/>
      <c r="I232" s="768"/>
    </row>
    <row r="233" spans="2:9" ht="16.5" customHeight="1" x14ac:dyDescent="0.2">
      <c r="B233" s="771"/>
      <c r="C233" s="771"/>
      <c r="D233" s="771"/>
      <c r="E233" s="771"/>
      <c r="F233" s="771"/>
      <c r="G233" s="768"/>
      <c r="H233" s="768"/>
      <c r="I233" s="768"/>
    </row>
    <row r="234" spans="2:9" ht="16.5" customHeight="1" x14ac:dyDescent="0.2">
      <c r="B234" s="771"/>
      <c r="C234" s="771"/>
      <c r="D234" s="771"/>
      <c r="E234" s="771"/>
      <c r="F234" s="771"/>
      <c r="G234" s="768"/>
      <c r="H234" s="768"/>
      <c r="I234" s="768"/>
    </row>
    <row r="235" spans="2:9" ht="16.5" customHeight="1" x14ac:dyDescent="0.2">
      <c r="B235" s="771"/>
      <c r="C235" s="771"/>
      <c r="D235" s="771"/>
      <c r="E235" s="771"/>
      <c r="F235" s="771"/>
      <c r="G235" s="768"/>
      <c r="H235" s="768"/>
      <c r="I235" s="768"/>
    </row>
    <row r="236" spans="2:9" ht="16.5" customHeight="1" x14ac:dyDescent="0.2">
      <c r="B236" s="771"/>
      <c r="C236" s="771"/>
      <c r="D236" s="771"/>
      <c r="E236" s="771"/>
      <c r="F236" s="771"/>
      <c r="G236" s="768"/>
      <c r="H236" s="768"/>
      <c r="I236" s="768"/>
    </row>
    <row r="237" spans="2:9" ht="16.5" customHeight="1" x14ac:dyDescent="0.2">
      <c r="B237" s="771"/>
      <c r="C237" s="771"/>
      <c r="D237" s="771"/>
      <c r="E237" s="771"/>
      <c r="F237" s="771"/>
      <c r="G237" s="768"/>
      <c r="H237" s="768"/>
      <c r="I237" s="768"/>
    </row>
    <row r="238" spans="2:9" ht="16.5" customHeight="1" x14ac:dyDescent="0.2">
      <c r="B238" s="771"/>
      <c r="C238" s="771"/>
      <c r="D238" s="771"/>
      <c r="E238" s="771"/>
      <c r="F238" s="771"/>
      <c r="G238" s="768"/>
      <c r="H238" s="768"/>
      <c r="I238" s="768"/>
    </row>
    <row r="239" spans="2:9" ht="16.5" customHeight="1" x14ac:dyDescent="0.2">
      <c r="B239" s="771"/>
      <c r="C239" s="771"/>
      <c r="D239" s="771"/>
      <c r="E239" s="771"/>
      <c r="F239" s="771"/>
      <c r="G239" s="768"/>
      <c r="H239" s="768"/>
      <c r="I239" s="768"/>
    </row>
    <row r="240" spans="2:9" ht="16.5" customHeight="1" x14ac:dyDescent="0.2">
      <c r="B240" s="771"/>
      <c r="C240" s="771"/>
      <c r="D240" s="771"/>
      <c r="E240" s="771"/>
      <c r="F240" s="771"/>
      <c r="G240" s="768"/>
      <c r="H240" s="768"/>
      <c r="I240" s="768"/>
    </row>
    <row r="241" spans="2:9" ht="16.5" customHeight="1" x14ac:dyDescent="0.2">
      <c r="B241" s="771"/>
      <c r="C241" s="771"/>
      <c r="D241" s="771"/>
      <c r="E241" s="771"/>
      <c r="F241" s="771"/>
      <c r="G241" s="768"/>
      <c r="H241" s="768"/>
      <c r="I241" s="768"/>
    </row>
    <row r="242" spans="2:9" ht="16.5" customHeight="1" x14ac:dyDescent="0.2">
      <c r="B242" s="771"/>
      <c r="C242" s="771"/>
      <c r="D242" s="771"/>
      <c r="E242" s="771"/>
      <c r="F242" s="771"/>
      <c r="G242" s="768"/>
      <c r="H242" s="768"/>
      <c r="I242" s="768"/>
    </row>
    <row r="243" spans="2:9" ht="16.5" customHeight="1" x14ac:dyDescent="0.2">
      <c r="B243" s="771"/>
      <c r="C243" s="771"/>
      <c r="D243" s="771"/>
      <c r="E243" s="771"/>
      <c r="F243" s="771"/>
      <c r="G243" s="768"/>
      <c r="H243" s="768"/>
      <c r="I243" s="768"/>
    </row>
    <row r="244" spans="2:9" ht="16.5" customHeight="1" x14ac:dyDescent="0.2">
      <c r="B244" s="771"/>
      <c r="C244" s="771"/>
      <c r="D244" s="771"/>
      <c r="E244" s="771"/>
      <c r="F244" s="771"/>
      <c r="G244" s="768"/>
      <c r="H244" s="768"/>
      <c r="I244" s="768"/>
    </row>
    <row r="245" spans="2:9" ht="16.5" customHeight="1" x14ac:dyDescent="0.2">
      <c r="B245" s="771"/>
      <c r="C245" s="771"/>
      <c r="D245" s="771"/>
      <c r="E245" s="771"/>
      <c r="F245" s="771"/>
      <c r="G245" s="768"/>
      <c r="H245" s="768"/>
      <c r="I245" s="768"/>
    </row>
    <row r="246" spans="2:9" ht="16.5" customHeight="1" x14ac:dyDescent="0.2">
      <c r="B246" s="771"/>
      <c r="C246" s="771"/>
      <c r="D246" s="771"/>
      <c r="E246" s="771"/>
      <c r="F246" s="771"/>
      <c r="G246" s="768"/>
      <c r="H246" s="768"/>
      <c r="I246" s="768"/>
    </row>
    <row r="247" spans="2:9" ht="16.5" customHeight="1" x14ac:dyDescent="0.2">
      <c r="B247" s="771"/>
      <c r="C247" s="771"/>
      <c r="D247" s="771"/>
      <c r="E247" s="771"/>
      <c r="F247" s="771"/>
      <c r="G247" s="768"/>
      <c r="H247" s="768"/>
      <c r="I247" s="768"/>
    </row>
    <row r="248" spans="2:9" ht="16.5" customHeight="1" x14ac:dyDescent="0.2">
      <c r="B248" s="771"/>
      <c r="C248" s="771"/>
      <c r="D248" s="771"/>
      <c r="E248" s="771"/>
      <c r="F248" s="771"/>
      <c r="G248" s="768"/>
      <c r="H248" s="768"/>
      <c r="I248" s="768"/>
    </row>
    <row r="249" spans="2:9" ht="16.5" customHeight="1" x14ac:dyDescent="0.2">
      <c r="B249" s="771"/>
      <c r="C249" s="771"/>
      <c r="D249" s="771"/>
      <c r="E249" s="771"/>
      <c r="F249" s="771"/>
      <c r="G249" s="768"/>
      <c r="H249" s="768"/>
      <c r="I249" s="768"/>
    </row>
    <row r="250" spans="2:9" ht="16.5" customHeight="1" x14ac:dyDescent="0.2">
      <c r="B250" s="771"/>
      <c r="C250" s="771"/>
      <c r="D250" s="771"/>
      <c r="E250" s="771"/>
      <c r="F250" s="771"/>
      <c r="G250" s="768"/>
      <c r="H250" s="768"/>
      <c r="I250" s="768"/>
    </row>
    <row r="251" spans="2:9" ht="16.5" customHeight="1" x14ac:dyDescent="0.2">
      <c r="B251" s="771"/>
      <c r="C251" s="771"/>
      <c r="D251" s="771"/>
      <c r="E251" s="771"/>
      <c r="F251" s="771"/>
      <c r="G251" s="768"/>
      <c r="H251" s="768"/>
      <c r="I251" s="768"/>
    </row>
    <row r="252" spans="2:9" ht="16.5" customHeight="1" x14ac:dyDescent="0.2">
      <c r="B252" s="771"/>
      <c r="C252" s="771"/>
      <c r="D252" s="771"/>
      <c r="E252" s="771"/>
      <c r="F252" s="771"/>
      <c r="G252" s="768"/>
      <c r="H252" s="768"/>
      <c r="I252" s="768"/>
    </row>
    <row r="253" spans="2:9" ht="16.5" customHeight="1" x14ac:dyDescent="0.2">
      <c r="B253" s="771"/>
      <c r="C253" s="771"/>
      <c r="D253" s="771"/>
      <c r="E253" s="771"/>
      <c r="F253" s="771"/>
      <c r="G253" s="768"/>
      <c r="H253" s="768"/>
      <c r="I253" s="768"/>
    </row>
    <row r="254" spans="2:9" ht="16.5" customHeight="1" x14ac:dyDescent="0.2">
      <c r="B254" s="771"/>
      <c r="C254" s="771"/>
      <c r="D254" s="771"/>
      <c r="E254" s="771"/>
      <c r="F254" s="771"/>
      <c r="G254" s="768"/>
      <c r="H254" s="768"/>
      <c r="I254" s="768"/>
    </row>
    <row r="255" spans="2:9" ht="16.5" customHeight="1" x14ac:dyDescent="0.2">
      <c r="B255" s="771"/>
      <c r="C255" s="771"/>
      <c r="D255" s="771"/>
      <c r="E255" s="771"/>
      <c r="F255" s="771"/>
      <c r="G255" s="768"/>
      <c r="H255" s="768"/>
      <c r="I255" s="768"/>
    </row>
    <row r="256" spans="2:9" ht="16.5" customHeight="1" x14ac:dyDescent="0.2">
      <c r="B256" s="771"/>
      <c r="C256" s="771"/>
      <c r="D256" s="771"/>
      <c r="E256" s="771"/>
      <c r="F256" s="771"/>
      <c r="G256" s="768"/>
      <c r="H256" s="768"/>
      <c r="I256" s="768"/>
    </row>
    <row r="257" spans="2:9" ht="16.5" customHeight="1" x14ac:dyDescent="0.2">
      <c r="B257" s="771"/>
      <c r="C257" s="771"/>
      <c r="D257" s="771"/>
      <c r="E257" s="771"/>
      <c r="F257" s="771"/>
      <c r="G257" s="768"/>
      <c r="H257" s="768"/>
      <c r="I257" s="768"/>
    </row>
    <row r="258" spans="2:9" ht="16.5" customHeight="1" x14ac:dyDescent="0.2">
      <c r="B258" s="771"/>
      <c r="C258" s="771"/>
      <c r="D258" s="771"/>
      <c r="E258" s="771"/>
      <c r="F258" s="771"/>
      <c r="G258" s="768"/>
      <c r="H258" s="768"/>
      <c r="I258" s="768"/>
    </row>
    <row r="259" spans="2:9" ht="16.5" customHeight="1" x14ac:dyDescent="0.2">
      <c r="B259" s="771"/>
      <c r="C259" s="771"/>
      <c r="D259" s="771"/>
      <c r="E259" s="771"/>
      <c r="F259" s="771"/>
      <c r="G259" s="768"/>
      <c r="H259" s="768"/>
      <c r="I259" s="768"/>
    </row>
    <row r="260" spans="2:9" ht="16.5" customHeight="1" x14ac:dyDescent="0.2">
      <c r="B260" s="771"/>
      <c r="C260" s="771"/>
      <c r="D260" s="771"/>
      <c r="E260" s="771"/>
      <c r="F260" s="771"/>
      <c r="G260" s="768"/>
      <c r="H260" s="768"/>
      <c r="I260" s="768"/>
    </row>
    <row r="261" spans="2:9" ht="16.5" customHeight="1" x14ac:dyDescent="0.2">
      <c r="B261" s="771"/>
      <c r="C261" s="771"/>
      <c r="D261" s="771"/>
      <c r="E261" s="771"/>
      <c r="F261" s="771"/>
      <c r="G261" s="768"/>
      <c r="H261" s="768"/>
      <c r="I261" s="768"/>
    </row>
    <row r="262" spans="2:9" ht="16.5" customHeight="1" x14ac:dyDescent="0.2">
      <c r="B262" s="771"/>
      <c r="C262" s="771"/>
      <c r="D262" s="771"/>
      <c r="E262" s="771"/>
      <c r="F262" s="771"/>
      <c r="G262" s="768"/>
      <c r="H262" s="768"/>
      <c r="I262" s="768"/>
    </row>
    <row r="263" spans="2:9" ht="16.5" customHeight="1" x14ac:dyDescent="0.2">
      <c r="B263" s="771"/>
      <c r="C263" s="771"/>
      <c r="D263" s="771"/>
      <c r="E263" s="771"/>
      <c r="F263" s="771"/>
      <c r="G263" s="768"/>
      <c r="H263" s="768"/>
      <c r="I263" s="768"/>
    </row>
    <row r="264" spans="2:9" ht="16.5" customHeight="1" x14ac:dyDescent="0.2">
      <c r="B264" s="771"/>
      <c r="C264" s="771"/>
      <c r="D264" s="771"/>
      <c r="E264" s="771"/>
      <c r="F264" s="771"/>
      <c r="G264" s="768"/>
      <c r="H264" s="768"/>
      <c r="I264" s="768"/>
    </row>
    <row r="265" spans="2:9" ht="16.5" customHeight="1" x14ac:dyDescent="0.2">
      <c r="B265" s="771"/>
      <c r="C265" s="771"/>
      <c r="D265" s="771"/>
      <c r="E265" s="771"/>
      <c r="F265" s="771"/>
      <c r="G265" s="768"/>
      <c r="H265" s="768"/>
      <c r="I265" s="768"/>
    </row>
    <row r="266" spans="2:9" ht="16.5" customHeight="1" x14ac:dyDescent="0.2">
      <c r="B266" s="771"/>
      <c r="C266" s="771"/>
      <c r="D266" s="771"/>
      <c r="E266" s="771"/>
      <c r="F266" s="771"/>
      <c r="G266" s="768"/>
      <c r="H266" s="768"/>
      <c r="I266" s="768"/>
    </row>
    <row r="267" spans="2:9" ht="16.5" customHeight="1" x14ac:dyDescent="0.2">
      <c r="B267" s="771"/>
      <c r="C267" s="771"/>
      <c r="D267" s="771"/>
      <c r="E267" s="771"/>
      <c r="F267" s="771"/>
      <c r="G267" s="768"/>
      <c r="H267" s="768"/>
      <c r="I267" s="768"/>
    </row>
    <row r="268" spans="2:9" ht="16.5" customHeight="1" x14ac:dyDescent="0.2">
      <c r="B268" s="771"/>
      <c r="C268" s="771"/>
      <c r="D268" s="771"/>
      <c r="E268" s="771"/>
      <c r="F268" s="771"/>
      <c r="G268" s="768"/>
      <c r="H268" s="768"/>
      <c r="I268" s="768"/>
    </row>
    <row r="269" spans="2:9" ht="16.5" customHeight="1" x14ac:dyDescent="0.2">
      <c r="B269" s="771"/>
      <c r="C269" s="771"/>
      <c r="D269" s="771"/>
      <c r="E269" s="771"/>
      <c r="F269" s="771"/>
      <c r="G269" s="768"/>
      <c r="H269" s="768"/>
      <c r="I269" s="768"/>
    </row>
    <row r="270" spans="2:9" ht="16.5" customHeight="1" x14ac:dyDescent="0.2">
      <c r="B270" s="771"/>
      <c r="C270" s="771"/>
      <c r="D270" s="771"/>
      <c r="E270" s="771"/>
      <c r="F270" s="771"/>
      <c r="G270" s="768"/>
      <c r="H270" s="768"/>
      <c r="I270" s="768"/>
    </row>
    <row r="271" spans="2:9" ht="16.5" customHeight="1" x14ac:dyDescent="0.2">
      <c r="B271" s="771"/>
      <c r="C271" s="771"/>
      <c r="D271" s="771"/>
      <c r="E271" s="771"/>
      <c r="F271" s="771"/>
      <c r="G271" s="768"/>
      <c r="H271" s="768"/>
      <c r="I271" s="768"/>
    </row>
    <row r="272" spans="2:9" ht="16.5" customHeight="1" x14ac:dyDescent="0.2">
      <c r="B272" s="771"/>
      <c r="C272" s="771"/>
      <c r="D272" s="771"/>
      <c r="E272" s="771"/>
      <c r="F272" s="771"/>
      <c r="G272" s="768"/>
      <c r="H272" s="768"/>
      <c r="I272" s="768"/>
    </row>
    <row r="273" spans="2:9" ht="16.5" customHeight="1" x14ac:dyDescent="0.2">
      <c r="B273" s="771"/>
      <c r="C273" s="771"/>
      <c r="D273" s="771"/>
      <c r="E273" s="771"/>
      <c r="F273" s="771"/>
      <c r="G273" s="768"/>
      <c r="H273" s="768"/>
      <c r="I273" s="768"/>
    </row>
    <row r="274" spans="2:9" ht="16.5" customHeight="1" x14ac:dyDescent="0.2">
      <c r="B274" s="771"/>
      <c r="C274" s="771"/>
      <c r="D274" s="771"/>
      <c r="E274" s="771"/>
      <c r="F274" s="771"/>
      <c r="G274" s="768"/>
      <c r="H274" s="768"/>
      <c r="I274" s="768"/>
    </row>
    <row r="275" spans="2:9" ht="16.5" customHeight="1" x14ac:dyDescent="0.2">
      <c r="B275" s="771"/>
      <c r="C275" s="771"/>
      <c r="D275" s="771"/>
      <c r="E275" s="771"/>
      <c r="F275" s="771"/>
      <c r="G275" s="768"/>
      <c r="H275" s="768"/>
      <c r="I275" s="768"/>
    </row>
    <row r="276" spans="2:9" ht="16.5" customHeight="1" x14ac:dyDescent="0.2">
      <c r="B276" s="771"/>
      <c r="C276" s="771"/>
      <c r="D276" s="771"/>
      <c r="E276" s="771"/>
      <c r="F276" s="771"/>
      <c r="G276" s="768"/>
      <c r="H276" s="768"/>
      <c r="I276" s="768"/>
    </row>
    <row r="277" spans="2:9" ht="16.5" customHeight="1" x14ac:dyDescent="0.2">
      <c r="B277" s="771"/>
      <c r="C277" s="771"/>
      <c r="D277" s="771"/>
      <c r="E277" s="771"/>
      <c r="F277" s="771"/>
      <c r="G277" s="768"/>
      <c r="H277" s="768"/>
      <c r="I277" s="768"/>
    </row>
    <row r="278" spans="2:9" ht="16.5" customHeight="1" x14ac:dyDescent="0.2">
      <c r="B278" s="771"/>
      <c r="C278" s="771"/>
      <c r="D278" s="771"/>
      <c r="E278" s="771"/>
      <c r="F278" s="771"/>
      <c r="G278" s="768"/>
      <c r="H278" s="768"/>
      <c r="I278" s="768"/>
    </row>
    <row r="279" spans="2:9" ht="16.5" customHeight="1" x14ac:dyDescent="0.2">
      <c r="B279" s="771"/>
      <c r="C279" s="771"/>
      <c r="D279" s="771"/>
      <c r="E279" s="771"/>
      <c r="F279" s="771"/>
      <c r="G279" s="768"/>
      <c r="H279" s="768"/>
      <c r="I279" s="768"/>
    </row>
    <row r="280" spans="2:9" ht="16.5" customHeight="1" x14ac:dyDescent="0.2">
      <c r="B280" s="771"/>
      <c r="C280" s="771"/>
      <c r="D280" s="771"/>
      <c r="E280" s="771"/>
      <c r="F280" s="771"/>
      <c r="G280" s="768"/>
      <c r="H280" s="768"/>
      <c r="I280" s="768"/>
    </row>
    <row r="281" spans="2:9" ht="16.5" customHeight="1" x14ac:dyDescent="0.2">
      <c r="B281" s="771"/>
      <c r="C281" s="771"/>
      <c r="D281" s="771"/>
      <c r="E281" s="771"/>
      <c r="F281" s="771"/>
      <c r="G281" s="768"/>
      <c r="H281" s="768"/>
      <c r="I281" s="768"/>
    </row>
    <row r="282" spans="2:9" ht="16.5" customHeight="1" x14ac:dyDescent="0.2">
      <c r="B282" s="771"/>
      <c r="C282" s="771"/>
      <c r="D282" s="771"/>
      <c r="E282" s="771"/>
      <c r="F282" s="771"/>
      <c r="G282" s="768"/>
      <c r="H282" s="768"/>
      <c r="I282" s="768"/>
    </row>
    <row r="283" spans="2:9" ht="16.5" customHeight="1" x14ac:dyDescent="0.2">
      <c r="B283" s="771"/>
      <c r="C283" s="771"/>
      <c r="D283" s="771"/>
      <c r="E283" s="771"/>
      <c r="F283" s="771"/>
      <c r="G283" s="768"/>
      <c r="H283" s="768"/>
      <c r="I283" s="768"/>
    </row>
    <row r="284" spans="2:9" ht="16.5" customHeight="1" x14ac:dyDescent="0.2">
      <c r="B284" s="771"/>
      <c r="C284" s="771"/>
      <c r="D284" s="771"/>
      <c r="E284" s="771"/>
      <c r="F284" s="771"/>
      <c r="G284" s="768"/>
      <c r="H284" s="768"/>
      <c r="I284" s="768"/>
    </row>
    <row r="285" spans="2:9" ht="16.5" customHeight="1" x14ac:dyDescent="0.2">
      <c r="B285" s="771"/>
      <c r="C285" s="771"/>
      <c r="D285" s="771"/>
      <c r="E285" s="771"/>
      <c r="F285" s="771"/>
      <c r="G285" s="768"/>
      <c r="H285" s="768"/>
      <c r="I285" s="768"/>
    </row>
    <row r="286" spans="2:9" ht="16.5" customHeight="1" x14ac:dyDescent="0.2">
      <c r="B286" s="771"/>
      <c r="C286" s="771"/>
      <c r="D286" s="771"/>
      <c r="E286" s="771"/>
      <c r="F286" s="771"/>
      <c r="G286" s="768"/>
      <c r="H286" s="768"/>
      <c r="I286" s="768"/>
    </row>
    <row r="287" spans="2:9" ht="16.5" customHeight="1" x14ac:dyDescent="0.2">
      <c r="B287" s="771"/>
      <c r="C287" s="771"/>
      <c r="D287" s="771"/>
      <c r="E287" s="771"/>
      <c r="F287" s="771"/>
      <c r="G287" s="768"/>
      <c r="H287" s="768"/>
      <c r="I287" s="768"/>
    </row>
    <row r="288" spans="2:9" ht="16.5" customHeight="1" x14ac:dyDescent="0.2">
      <c r="B288" s="771"/>
      <c r="C288" s="771"/>
      <c r="D288" s="771"/>
      <c r="E288" s="771"/>
      <c r="F288" s="771"/>
      <c r="G288" s="768"/>
      <c r="H288" s="768"/>
      <c r="I288" s="768"/>
    </row>
    <row r="289" spans="2:9" ht="16.5" customHeight="1" x14ac:dyDescent="0.2">
      <c r="B289" s="771"/>
      <c r="C289" s="771"/>
      <c r="D289" s="771"/>
      <c r="E289" s="771"/>
      <c r="F289" s="771"/>
      <c r="G289" s="768"/>
      <c r="H289" s="768"/>
      <c r="I289" s="768"/>
    </row>
    <row r="290" spans="2:9" ht="16.5" customHeight="1" x14ac:dyDescent="0.2">
      <c r="B290" s="771"/>
      <c r="C290" s="771"/>
      <c r="D290" s="771"/>
      <c r="E290" s="771"/>
      <c r="F290" s="771"/>
      <c r="G290" s="768"/>
      <c r="H290" s="768"/>
      <c r="I290" s="768"/>
    </row>
    <row r="291" spans="2:9" ht="16.5" customHeight="1" x14ac:dyDescent="0.2">
      <c r="B291" s="771"/>
      <c r="C291" s="771"/>
      <c r="D291" s="771"/>
      <c r="E291" s="771"/>
      <c r="F291" s="771"/>
      <c r="G291" s="768"/>
      <c r="H291" s="768"/>
      <c r="I291" s="768"/>
    </row>
    <row r="292" spans="2:9" ht="16.5" customHeight="1" x14ac:dyDescent="0.2">
      <c r="B292" s="771"/>
      <c r="C292" s="771"/>
      <c r="D292" s="771"/>
      <c r="E292" s="771"/>
      <c r="F292" s="771"/>
      <c r="G292" s="768"/>
      <c r="H292" s="768"/>
      <c r="I292" s="768"/>
    </row>
    <row r="293" spans="2:9" ht="16.5" customHeight="1" x14ac:dyDescent="0.2">
      <c r="B293" s="771"/>
      <c r="C293" s="771"/>
      <c r="D293" s="771"/>
      <c r="E293" s="771"/>
      <c r="F293" s="771"/>
      <c r="G293" s="768"/>
      <c r="H293" s="768"/>
      <c r="I293" s="768"/>
    </row>
    <row r="294" spans="2:9" ht="16.5" customHeight="1" x14ac:dyDescent="0.2">
      <c r="B294" s="771"/>
      <c r="C294" s="771"/>
      <c r="D294" s="771"/>
      <c r="E294" s="771"/>
      <c r="F294" s="771"/>
      <c r="G294" s="768"/>
      <c r="H294" s="768"/>
      <c r="I294" s="768"/>
    </row>
    <row r="295" spans="2:9" ht="16.5" customHeight="1" x14ac:dyDescent="0.2">
      <c r="B295" s="771"/>
      <c r="C295" s="771"/>
      <c r="D295" s="771"/>
      <c r="E295" s="771"/>
      <c r="F295" s="771"/>
      <c r="G295" s="768"/>
      <c r="H295" s="768"/>
      <c r="I295" s="768"/>
    </row>
    <row r="296" spans="2:9" ht="16.5" customHeight="1" x14ac:dyDescent="0.2">
      <c r="B296" s="771"/>
      <c r="C296" s="771"/>
      <c r="D296" s="771"/>
      <c r="E296" s="771"/>
      <c r="F296" s="771"/>
      <c r="G296" s="768"/>
      <c r="H296" s="768"/>
      <c r="I296" s="768"/>
    </row>
    <row r="297" spans="2:9" ht="16.5" customHeight="1" x14ac:dyDescent="0.2">
      <c r="B297" s="771"/>
      <c r="C297" s="771"/>
      <c r="D297" s="771"/>
      <c r="E297" s="771"/>
      <c r="F297" s="771"/>
      <c r="G297" s="768"/>
      <c r="H297" s="768"/>
      <c r="I297" s="768"/>
    </row>
    <row r="298" spans="2:9" ht="16.5" customHeight="1" x14ac:dyDescent="0.2">
      <c r="B298" s="771"/>
      <c r="C298" s="771"/>
      <c r="D298" s="771"/>
      <c r="E298" s="771"/>
      <c r="F298" s="771"/>
      <c r="G298" s="768"/>
      <c r="H298" s="768"/>
      <c r="I298" s="768"/>
    </row>
    <row r="299" spans="2:9" ht="16.5" customHeight="1" x14ac:dyDescent="0.2">
      <c r="B299" s="771"/>
      <c r="C299" s="771"/>
      <c r="D299" s="771"/>
      <c r="E299" s="771"/>
      <c r="F299" s="771"/>
      <c r="G299" s="768"/>
      <c r="H299" s="768"/>
      <c r="I299" s="768"/>
    </row>
    <row r="300" spans="2:9" ht="16.5" customHeight="1" x14ac:dyDescent="0.2">
      <c r="B300" s="771"/>
      <c r="C300" s="771"/>
      <c r="D300" s="771"/>
      <c r="E300" s="771"/>
      <c r="F300" s="771"/>
      <c r="G300" s="768"/>
      <c r="H300" s="768"/>
      <c r="I300" s="768"/>
    </row>
    <row r="301" spans="2:9" ht="16.5" customHeight="1" x14ac:dyDescent="0.2">
      <c r="B301" s="771"/>
      <c r="C301" s="771"/>
      <c r="D301" s="771"/>
      <c r="E301" s="771"/>
      <c r="F301" s="771"/>
      <c r="G301" s="768"/>
      <c r="H301" s="768"/>
      <c r="I301" s="768"/>
    </row>
    <row r="302" spans="2:9" ht="16.5" customHeight="1" x14ac:dyDescent="0.2">
      <c r="B302" s="771"/>
      <c r="C302" s="771"/>
      <c r="D302" s="771"/>
      <c r="E302" s="771"/>
      <c r="F302" s="771"/>
      <c r="G302" s="768"/>
      <c r="H302" s="768"/>
      <c r="I302" s="768"/>
    </row>
    <row r="303" spans="2:9" ht="16.5" customHeight="1" x14ac:dyDescent="0.2">
      <c r="B303" s="771"/>
      <c r="C303" s="771"/>
      <c r="D303" s="771"/>
      <c r="E303" s="771"/>
      <c r="F303" s="771"/>
      <c r="G303" s="768"/>
      <c r="H303" s="768"/>
      <c r="I303" s="768"/>
    </row>
    <row r="304" spans="2:9" ht="16.5" customHeight="1" x14ac:dyDescent="0.2">
      <c r="B304" s="771"/>
      <c r="C304" s="771"/>
      <c r="D304" s="771"/>
      <c r="E304" s="771"/>
      <c r="F304" s="771"/>
      <c r="G304" s="768"/>
      <c r="H304" s="768"/>
      <c r="I304" s="768"/>
    </row>
  </sheetData>
  <mergeCells count="12">
    <mergeCell ref="A68:E68"/>
    <mergeCell ref="A69:E69"/>
    <mergeCell ref="K30:K37"/>
    <mergeCell ref="K56:K62"/>
    <mergeCell ref="K4:K5"/>
    <mergeCell ref="G21:G28"/>
    <mergeCell ref="G12:G18"/>
    <mergeCell ref="A61:G61"/>
    <mergeCell ref="A62:G62"/>
    <mergeCell ref="A33:F33"/>
    <mergeCell ref="A39:G39"/>
    <mergeCell ref="A50:F50"/>
  </mergeCells>
  <phoneticPr fontId="8" type="noConversion"/>
  <printOptions horizontalCentered="1"/>
  <pageMargins left="0" right="0" top="0.75" bottom="0.5" header="0.25" footer="0.25"/>
  <headerFooter alignWithMargins="0"/>
  <rowBreaks count="1" manualBreakCount="1">
    <brk id="37" max="8" man="1"/>
  </rowBreaks>
  <drawing r:id="rId1"/>
  <legacyDrawing r:id="rId2"/>
  <extLst>
    <ext xmlns:mx="http://schemas.microsoft.com/office/mac/excel/2008/main" uri="http://schemas.microsoft.com/office/mac/excel/2008/main">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800080"/>
  </sheetPr>
  <dimension ref="A1:IV239"/>
  <sheetViews>
    <sheetView topLeftCell="A61" zoomScaleSheetLayoutView="100" workbookViewId="0">
      <selection activeCell="K203" sqref="K203"/>
    </sheetView>
  </sheetViews>
  <sheetFormatPr defaultColWidth="9.140625" defaultRowHeight="16.5" customHeight="1" x14ac:dyDescent="0.2"/>
  <cols>
    <col min="1" max="1" width="37.42578125" style="257" customWidth="1"/>
    <col min="2" max="2" width="0.140625" style="60" customWidth="1"/>
    <col min="3" max="3" width="8.5703125" style="60" customWidth="1"/>
    <col min="4" max="5" width="8.5703125" style="59" customWidth="1"/>
    <col min="6" max="6" width="8.5703125" style="60" customWidth="1"/>
    <col min="7" max="7" width="8.5703125" style="42" customWidth="1"/>
    <col min="8" max="8" width="52.5703125" style="82" customWidth="1"/>
    <col min="9" max="26" width="8.5703125" style="1169" customWidth="1"/>
    <col min="27" max="256" width="8.5703125" style="82" customWidth="1"/>
    <col min="257" max="16384" width="9.140625" style="82"/>
  </cols>
  <sheetData>
    <row r="1" spans="1:256" s="208" customFormat="1" ht="16.5" customHeight="1" x14ac:dyDescent="0.2">
      <c r="A1" s="199"/>
      <c r="B1" s="215"/>
      <c r="C1" s="215"/>
      <c r="D1" s="215"/>
      <c r="E1" s="215"/>
      <c r="F1" s="215"/>
      <c r="H1" s="677"/>
      <c r="I1" s="677" t="s">
        <v>1075</v>
      </c>
      <c r="J1" s="677" t="s">
        <v>1075</v>
      </c>
      <c r="K1" s="677" t="s">
        <v>1075</v>
      </c>
      <c r="L1" s="677" t="s">
        <v>1075</v>
      </c>
      <c r="M1" s="677" t="s">
        <v>1075</v>
      </c>
      <c r="N1" s="677" t="s">
        <v>1075</v>
      </c>
      <c r="O1" s="677" t="s">
        <v>1075</v>
      </c>
      <c r="P1" s="677" t="s">
        <v>1075</v>
      </c>
      <c r="Q1" s="677" t="s">
        <v>1075</v>
      </c>
      <c r="R1" s="677" t="s">
        <v>1075</v>
      </c>
      <c r="S1" s="677" t="s">
        <v>1075</v>
      </c>
      <c r="T1" s="677" t="s">
        <v>1075</v>
      </c>
      <c r="U1" s="677" t="s">
        <v>1075</v>
      </c>
      <c r="V1" s="677" t="s">
        <v>1075</v>
      </c>
      <c r="W1" s="677" t="s">
        <v>1075</v>
      </c>
      <c r="X1" s="677" t="s">
        <v>1075</v>
      </c>
      <c r="Y1" s="677" t="s">
        <v>1075</v>
      </c>
      <c r="Z1" s="677" t="s">
        <v>1075</v>
      </c>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c r="BR1" s="193"/>
      <c r="BS1" s="193"/>
      <c r="BT1" s="193"/>
      <c r="BU1" s="193"/>
      <c r="BV1" s="193"/>
      <c r="BW1" s="193"/>
      <c r="BX1" s="193"/>
      <c r="BY1" s="193"/>
      <c r="BZ1" s="193"/>
      <c r="CA1" s="193"/>
      <c r="CB1" s="193"/>
      <c r="CC1" s="193"/>
      <c r="CD1" s="193"/>
      <c r="CE1" s="193"/>
      <c r="CF1" s="193"/>
      <c r="CG1" s="193"/>
      <c r="CH1" s="193"/>
      <c r="CI1" s="193"/>
      <c r="CJ1" s="193"/>
      <c r="CK1" s="193"/>
      <c r="CL1" s="193"/>
      <c r="CM1" s="193"/>
      <c r="CN1" s="193"/>
      <c r="CO1" s="193"/>
      <c r="CP1" s="193"/>
      <c r="CQ1" s="193"/>
      <c r="CR1" s="193"/>
      <c r="CS1" s="193"/>
      <c r="CT1" s="193"/>
      <c r="CU1" s="193"/>
      <c r="CV1" s="193"/>
      <c r="CW1" s="193"/>
      <c r="CX1" s="193"/>
      <c r="CY1" s="193"/>
      <c r="CZ1" s="193"/>
      <c r="DA1" s="193"/>
      <c r="DB1" s="193"/>
      <c r="DC1" s="193"/>
      <c r="DD1" s="193"/>
      <c r="DE1" s="193"/>
      <c r="DF1" s="193"/>
      <c r="DG1" s="193"/>
      <c r="DH1" s="193"/>
      <c r="DI1" s="193"/>
      <c r="DJ1" s="193"/>
      <c r="DK1" s="193"/>
      <c r="DL1" s="193"/>
      <c r="DM1" s="193"/>
      <c r="DN1" s="193"/>
      <c r="DO1" s="193"/>
      <c r="DP1" s="193"/>
      <c r="DQ1" s="193"/>
      <c r="DR1" s="193"/>
      <c r="DS1" s="193"/>
      <c r="DT1" s="193"/>
      <c r="DU1" s="193"/>
      <c r="DV1" s="193"/>
      <c r="DW1" s="193"/>
      <c r="DX1" s="193"/>
      <c r="DY1" s="193"/>
      <c r="DZ1" s="193"/>
      <c r="EA1" s="193"/>
      <c r="EB1" s="193"/>
      <c r="EC1" s="193"/>
      <c r="ED1" s="193"/>
      <c r="EE1" s="193"/>
      <c r="EF1" s="193"/>
      <c r="EG1" s="193"/>
      <c r="EH1" s="193"/>
      <c r="EI1" s="193"/>
      <c r="EJ1" s="193"/>
      <c r="EK1" s="193"/>
      <c r="EL1" s="193"/>
      <c r="EM1" s="193"/>
      <c r="EN1" s="193"/>
      <c r="EO1" s="193"/>
      <c r="EP1" s="193"/>
      <c r="EQ1" s="193"/>
      <c r="ER1" s="193"/>
      <c r="ES1" s="193"/>
      <c r="ET1" s="193"/>
      <c r="EU1" s="193"/>
      <c r="EV1" s="193"/>
      <c r="EW1" s="193"/>
      <c r="EX1" s="193"/>
      <c r="EY1" s="193"/>
      <c r="EZ1" s="193"/>
      <c r="FA1" s="193"/>
      <c r="FB1" s="193"/>
      <c r="FC1" s="193"/>
      <c r="FD1" s="193"/>
      <c r="FE1" s="193"/>
      <c r="FF1" s="193"/>
      <c r="FG1" s="193"/>
      <c r="FH1" s="193"/>
      <c r="FI1" s="193"/>
      <c r="FJ1" s="193"/>
      <c r="FK1" s="193"/>
      <c r="FL1" s="193"/>
      <c r="FM1" s="193"/>
      <c r="FN1" s="193"/>
      <c r="FO1" s="193"/>
      <c r="FP1" s="193"/>
      <c r="FQ1" s="193"/>
      <c r="FR1" s="193"/>
      <c r="FS1" s="193"/>
      <c r="FT1" s="193"/>
      <c r="FU1" s="193"/>
      <c r="FV1" s="193"/>
      <c r="FW1" s="193"/>
      <c r="FX1" s="193"/>
      <c r="FY1" s="193"/>
      <c r="FZ1" s="193"/>
      <c r="GA1" s="193"/>
      <c r="GB1" s="193"/>
      <c r="GC1" s="193"/>
      <c r="GD1" s="193"/>
      <c r="GE1" s="193"/>
      <c r="GF1" s="193"/>
      <c r="GG1" s="193"/>
      <c r="GH1" s="193"/>
      <c r="GI1" s="193"/>
      <c r="GJ1" s="193"/>
      <c r="GK1" s="193"/>
      <c r="GL1" s="193"/>
      <c r="GM1" s="193"/>
      <c r="GN1" s="193"/>
      <c r="GO1" s="193"/>
      <c r="GP1" s="193"/>
      <c r="GQ1" s="193"/>
      <c r="GR1" s="193"/>
      <c r="GS1" s="193"/>
      <c r="GT1" s="193"/>
      <c r="GU1" s="193"/>
      <c r="GV1" s="193"/>
      <c r="GW1" s="193"/>
      <c r="GX1" s="193"/>
      <c r="GY1" s="193"/>
      <c r="GZ1" s="193"/>
      <c r="HA1" s="193"/>
      <c r="HB1" s="193"/>
      <c r="HC1" s="193"/>
      <c r="HD1" s="193"/>
      <c r="HE1" s="193"/>
      <c r="HF1" s="193"/>
      <c r="HG1" s="193"/>
      <c r="HH1" s="193"/>
      <c r="HI1" s="193"/>
      <c r="HJ1" s="193"/>
      <c r="HK1" s="193"/>
      <c r="HL1" s="193"/>
      <c r="HM1" s="193"/>
      <c r="HN1" s="193"/>
      <c r="HO1" s="193"/>
      <c r="HP1" s="193"/>
      <c r="HQ1" s="193"/>
      <c r="HR1" s="193"/>
      <c r="HS1" s="193"/>
      <c r="HT1" s="193"/>
      <c r="HU1" s="193"/>
      <c r="HV1" s="193"/>
      <c r="HW1" s="193"/>
      <c r="HX1" s="193"/>
      <c r="HY1" s="193"/>
      <c r="HZ1" s="193"/>
      <c r="IA1" s="193"/>
      <c r="IB1" s="193"/>
      <c r="IC1" s="193"/>
      <c r="ID1" s="193"/>
      <c r="IE1" s="193"/>
      <c r="IF1" s="193"/>
      <c r="IG1" s="193"/>
      <c r="IH1" s="193"/>
      <c r="II1" s="193"/>
      <c r="IJ1" s="193"/>
      <c r="IK1" s="193"/>
      <c r="IL1" s="193"/>
      <c r="IM1" s="193"/>
      <c r="IN1" s="193"/>
      <c r="IO1" s="193"/>
      <c r="IP1" s="193"/>
      <c r="IQ1" s="193"/>
      <c r="IR1" s="193"/>
      <c r="IS1" s="193"/>
      <c r="IT1" s="193"/>
      <c r="IU1" s="193"/>
      <c r="IV1" s="193"/>
    </row>
    <row r="2" spans="1:256" s="208" customFormat="1" ht="16.5" customHeight="1" x14ac:dyDescent="0.2">
      <c r="A2" s="199"/>
      <c r="B2" s="215"/>
      <c r="C2" s="215"/>
      <c r="D2" s="215"/>
      <c r="E2" s="215"/>
      <c r="F2" s="215"/>
      <c r="H2" s="677"/>
      <c r="I2" s="677"/>
      <c r="J2" s="677"/>
      <c r="K2" s="677"/>
      <c r="L2" s="677"/>
      <c r="M2" s="677"/>
      <c r="N2" s="677"/>
      <c r="O2" s="677"/>
      <c r="P2" s="677"/>
      <c r="Q2" s="677"/>
      <c r="R2" s="677"/>
      <c r="S2" s="677"/>
      <c r="T2" s="677"/>
      <c r="U2" s="677"/>
      <c r="V2" s="677"/>
      <c r="W2" s="677"/>
      <c r="X2" s="677"/>
      <c r="Y2" s="677"/>
      <c r="Z2" s="677"/>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193"/>
      <c r="BJ2" s="193"/>
      <c r="BK2" s="193"/>
      <c r="BL2" s="193"/>
      <c r="BM2" s="193"/>
      <c r="BN2" s="193"/>
      <c r="BO2" s="193"/>
      <c r="BP2" s="193"/>
      <c r="BQ2" s="193"/>
      <c r="BR2" s="193"/>
      <c r="BS2" s="193"/>
      <c r="BT2" s="193"/>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93"/>
      <c r="CS2" s="193"/>
      <c r="CT2" s="193"/>
      <c r="CU2" s="193"/>
      <c r="CV2" s="193"/>
      <c r="CW2" s="193"/>
      <c r="CX2" s="193"/>
      <c r="CY2" s="193"/>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3"/>
      <c r="DX2" s="193"/>
      <c r="DY2" s="193"/>
      <c r="DZ2" s="193"/>
      <c r="EA2" s="193"/>
      <c r="EB2" s="193"/>
      <c r="EC2" s="193"/>
      <c r="ED2" s="193"/>
      <c r="EE2" s="193"/>
      <c r="EF2" s="193"/>
      <c r="EG2" s="193"/>
      <c r="EH2" s="193"/>
      <c r="EI2" s="193"/>
      <c r="EJ2" s="193"/>
      <c r="EK2" s="193"/>
      <c r="EL2" s="193"/>
      <c r="EM2" s="193"/>
      <c r="EN2" s="193"/>
      <c r="EO2" s="193"/>
      <c r="EP2" s="193"/>
      <c r="EQ2" s="193"/>
      <c r="ER2" s="193"/>
      <c r="ES2" s="193"/>
      <c r="ET2" s="193"/>
      <c r="EU2" s="193"/>
      <c r="EV2" s="193"/>
      <c r="EW2" s="193"/>
      <c r="EX2" s="193"/>
      <c r="EY2" s="193"/>
      <c r="EZ2" s="193"/>
      <c r="FA2" s="193"/>
      <c r="FB2" s="193"/>
      <c r="FC2" s="193"/>
      <c r="FD2" s="193"/>
      <c r="FE2" s="193"/>
      <c r="FF2" s="193"/>
      <c r="FG2" s="193"/>
      <c r="FH2" s="193"/>
      <c r="FI2" s="193"/>
      <c r="FJ2" s="193"/>
      <c r="FK2" s="193"/>
      <c r="FL2" s="193"/>
      <c r="FM2" s="193"/>
      <c r="FN2" s="193"/>
      <c r="FO2" s="193"/>
      <c r="FP2" s="193"/>
      <c r="FQ2" s="193"/>
      <c r="FR2" s="193"/>
      <c r="FS2" s="193"/>
      <c r="FT2" s="193"/>
      <c r="FU2" s="193"/>
      <c r="FV2" s="193"/>
      <c r="FW2" s="193"/>
      <c r="FX2" s="193"/>
      <c r="FY2" s="193"/>
      <c r="FZ2" s="193"/>
      <c r="GA2" s="193"/>
      <c r="GB2" s="193"/>
      <c r="GC2" s="193"/>
      <c r="GD2" s="193"/>
      <c r="GE2" s="193"/>
      <c r="GF2" s="193"/>
      <c r="GG2" s="193"/>
      <c r="GH2" s="193"/>
      <c r="GI2" s="193"/>
      <c r="GJ2" s="193"/>
      <c r="GK2" s="193"/>
      <c r="GL2" s="193"/>
      <c r="GM2" s="193"/>
      <c r="GN2" s="193"/>
      <c r="GO2" s="193"/>
      <c r="GP2" s="193"/>
      <c r="GQ2" s="193"/>
      <c r="GR2" s="193"/>
      <c r="GS2" s="193"/>
      <c r="GT2" s="193"/>
      <c r="GU2" s="193"/>
      <c r="GV2" s="193"/>
      <c r="GW2" s="193"/>
      <c r="GX2" s="193"/>
      <c r="GY2" s="193"/>
      <c r="GZ2" s="193"/>
      <c r="HA2" s="193"/>
      <c r="HB2" s="193"/>
      <c r="HC2" s="193"/>
      <c r="HD2" s="193"/>
      <c r="HE2" s="193"/>
      <c r="HF2" s="193"/>
      <c r="HG2" s="193"/>
      <c r="HH2" s="193"/>
      <c r="HI2" s="193"/>
      <c r="HJ2" s="193"/>
      <c r="HK2" s="193"/>
      <c r="HL2" s="193"/>
      <c r="HM2" s="193"/>
      <c r="HN2" s="193"/>
      <c r="HO2" s="193"/>
      <c r="HP2" s="193"/>
      <c r="HQ2" s="193"/>
      <c r="HR2" s="193"/>
      <c r="HS2" s="193"/>
      <c r="HT2" s="193"/>
      <c r="HU2" s="193"/>
      <c r="HV2" s="193"/>
      <c r="HW2" s="193"/>
      <c r="HX2" s="193"/>
      <c r="HY2" s="193"/>
      <c r="HZ2" s="193"/>
      <c r="IA2" s="193"/>
      <c r="IB2" s="193"/>
      <c r="IC2" s="193"/>
      <c r="ID2" s="193"/>
      <c r="IE2" s="193"/>
      <c r="IF2" s="193"/>
      <c r="IG2" s="193"/>
      <c r="IH2" s="193"/>
      <c r="II2" s="193"/>
      <c r="IJ2" s="193"/>
      <c r="IK2" s="193"/>
      <c r="IL2" s="193"/>
      <c r="IM2" s="193"/>
      <c r="IN2" s="193"/>
      <c r="IO2" s="193"/>
      <c r="IP2" s="193"/>
      <c r="IQ2" s="193"/>
      <c r="IR2" s="193"/>
      <c r="IS2" s="193"/>
      <c r="IT2" s="193"/>
      <c r="IU2" s="193"/>
      <c r="IV2" s="193"/>
    </row>
    <row r="3" spans="1:256" s="208" customFormat="1" ht="16.5" customHeight="1" x14ac:dyDescent="0.2">
      <c r="A3" s="199"/>
      <c r="B3" s="215"/>
      <c r="C3" s="215"/>
      <c r="D3" s="215"/>
      <c r="E3" s="215"/>
      <c r="F3" s="215"/>
      <c r="H3" s="677"/>
      <c r="I3" s="677"/>
      <c r="J3" s="677"/>
      <c r="K3" s="677"/>
      <c r="L3" s="677"/>
      <c r="M3" s="677"/>
      <c r="N3" s="677"/>
      <c r="O3" s="677"/>
      <c r="P3" s="677"/>
      <c r="Q3" s="677"/>
      <c r="R3" s="677"/>
      <c r="S3" s="677"/>
      <c r="T3" s="677"/>
      <c r="U3" s="677"/>
      <c r="V3" s="677"/>
      <c r="W3" s="677"/>
      <c r="X3" s="677"/>
      <c r="Y3" s="677"/>
      <c r="Z3" s="677"/>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3"/>
      <c r="CN3" s="193"/>
      <c r="CO3" s="193"/>
      <c r="CP3" s="193"/>
      <c r="CQ3" s="193"/>
      <c r="CR3" s="193"/>
      <c r="CS3" s="193"/>
      <c r="CT3" s="193"/>
      <c r="CU3" s="193"/>
      <c r="CV3" s="193"/>
      <c r="CW3" s="193"/>
      <c r="CX3" s="193"/>
      <c r="CY3" s="193"/>
      <c r="CZ3" s="193"/>
      <c r="DA3" s="193"/>
      <c r="DB3" s="193"/>
      <c r="DC3" s="193"/>
      <c r="DD3" s="193"/>
      <c r="DE3" s="193"/>
      <c r="DF3" s="193"/>
      <c r="DG3" s="193"/>
      <c r="DH3" s="193"/>
      <c r="DI3" s="193"/>
      <c r="DJ3" s="193"/>
      <c r="DK3" s="193"/>
      <c r="DL3" s="193"/>
      <c r="DM3" s="193"/>
      <c r="DN3" s="193"/>
      <c r="DO3" s="193"/>
      <c r="DP3" s="193"/>
      <c r="DQ3" s="193"/>
      <c r="DR3" s="193"/>
      <c r="DS3" s="193"/>
      <c r="DT3" s="193"/>
      <c r="DU3" s="193"/>
      <c r="DV3" s="193"/>
      <c r="DW3" s="193"/>
      <c r="DX3" s="193"/>
      <c r="DY3" s="193"/>
      <c r="DZ3" s="193"/>
      <c r="EA3" s="193"/>
      <c r="EB3" s="193"/>
      <c r="EC3" s="193"/>
      <c r="ED3" s="193"/>
      <c r="EE3" s="193"/>
      <c r="EF3" s="193"/>
      <c r="EG3" s="193"/>
      <c r="EH3" s="193"/>
      <c r="EI3" s="193"/>
      <c r="EJ3" s="193"/>
      <c r="EK3" s="193"/>
      <c r="EL3" s="193"/>
      <c r="EM3" s="193"/>
      <c r="EN3" s="193"/>
      <c r="EO3" s="193"/>
      <c r="EP3" s="193"/>
      <c r="EQ3" s="193"/>
      <c r="ER3" s="193"/>
      <c r="ES3" s="193"/>
      <c r="ET3" s="193"/>
      <c r="EU3" s="193"/>
      <c r="EV3" s="193"/>
      <c r="EW3" s="193"/>
      <c r="EX3" s="193"/>
      <c r="EY3" s="193"/>
      <c r="EZ3" s="193"/>
      <c r="FA3" s="193"/>
      <c r="FB3" s="193"/>
      <c r="FC3" s="193"/>
      <c r="FD3" s="193"/>
      <c r="FE3" s="193"/>
      <c r="FF3" s="193"/>
      <c r="FG3" s="193"/>
      <c r="FH3" s="193"/>
      <c r="FI3" s="193"/>
      <c r="FJ3" s="193"/>
      <c r="FK3" s="193"/>
      <c r="FL3" s="193"/>
      <c r="FM3" s="193"/>
      <c r="FN3" s="193"/>
      <c r="FO3" s="193"/>
      <c r="FP3" s="193"/>
      <c r="FQ3" s="193"/>
      <c r="FR3" s="193"/>
      <c r="FS3" s="193"/>
      <c r="FT3" s="193"/>
      <c r="FU3" s="193"/>
      <c r="FV3" s="193"/>
      <c r="FW3" s="193"/>
      <c r="FX3" s="193"/>
      <c r="FY3" s="193"/>
      <c r="FZ3" s="193"/>
      <c r="GA3" s="193"/>
      <c r="GB3" s="193"/>
      <c r="GC3" s="193"/>
      <c r="GD3" s="193"/>
      <c r="GE3" s="193"/>
      <c r="GF3" s="193"/>
      <c r="GG3" s="193"/>
      <c r="GH3" s="193"/>
      <c r="GI3" s="193"/>
      <c r="GJ3" s="193"/>
      <c r="GK3" s="193"/>
      <c r="GL3" s="193"/>
      <c r="GM3" s="193"/>
      <c r="GN3" s="193"/>
      <c r="GO3" s="193"/>
      <c r="GP3" s="193"/>
      <c r="GQ3" s="193"/>
      <c r="GR3" s="193"/>
      <c r="GS3" s="193"/>
      <c r="GT3" s="193"/>
      <c r="GU3" s="193"/>
      <c r="GV3" s="193"/>
      <c r="GW3" s="193"/>
      <c r="GX3" s="193"/>
      <c r="GY3" s="193"/>
      <c r="GZ3" s="193"/>
      <c r="HA3" s="193"/>
      <c r="HB3" s="193"/>
      <c r="HC3" s="193"/>
      <c r="HD3" s="193"/>
      <c r="HE3" s="193"/>
      <c r="HF3" s="193"/>
      <c r="HG3" s="193"/>
      <c r="HH3" s="193"/>
      <c r="HI3" s="193"/>
      <c r="HJ3" s="193"/>
      <c r="HK3" s="193"/>
      <c r="HL3" s="193"/>
      <c r="HM3" s="193"/>
      <c r="HN3" s="193"/>
      <c r="HO3" s="193"/>
      <c r="HP3" s="193"/>
      <c r="HQ3" s="193"/>
      <c r="HR3" s="193"/>
      <c r="HS3" s="193"/>
      <c r="HT3" s="193"/>
      <c r="HU3" s="193"/>
      <c r="HV3" s="193"/>
      <c r="HW3" s="193"/>
      <c r="HX3" s="193"/>
      <c r="HY3" s="193"/>
      <c r="HZ3" s="193"/>
      <c r="IA3" s="193"/>
      <c r="IB3" s="193"/>
      <c r="IC3" s="193"/>
      <c r="ID3" s="193"/>
      <c r="IE3" s="193"/>
      <c r="IF3" s="193"/>
      <c r="IG3" s="193"/>
      <c r="IH3" s="193"/>
      <c r="II3" s="193"/>
      <c r="IJ3" s="193"/>
      <c r="IK3" s="193"/>
      <c r="IL3" s="193"/>
      <c r="IM3" s="193"/>
      <c r="IN3" s="193"/>
      <c r="IO3" s="193"/>
      <c r="IP3" s="193"/>
      <c r="IQ3" s="193"/>
      <c r="IR3" s="193"/>
      <c r="IS3" s="193"/>
      <c r="IT3" s="193"/>
      <c r="IU3" s="193"/>
      <c r="IV3" s="193"/>
    </row>
    <row r="4" spans="1:256" s="208" customFormat="1" ht="16.5" customHeight="1" x14ac:dyDescent="0.2">
      <c r="A4" s="199"/>
      <c r="B4" s="215"/>
      <c r="C4" s="215"/>
      <c r="D4" s="215"/>
      <c r="E4" s="215"/>
      <c r="F4" s="215"/>
      <c r="H4" s="677"/>
      <c r="I4" s="677"/>
      <c r="J4" s="677"/>
      <c r="K4" s="677"/>
      <c r="L4" s="677"/>
      <c r="M4" s="677"/>
      <c r="N4" s="677"/>
      <c r="O4" s="677"/>
      <c r="P4" s="677"/>
      <c r="Q4" s="677"/>
      <c r="R4" s="677"/>
      <c r="S4" s="677"/>
      <c r="T4" s="677"/>
      <c r="U4" s="677"/>
      <c r="V4" s="677"/>
      <c r="W4" s="677"/>
      <c r="X4" s="677"/>
      <c r="Y4" s="677"/>
      <c r="Z4" s="677"/>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c r="BB4" s="193"/>
      <c r="BC4" s="193"/>
      <c r="BD4" s="193"/>
      <c r="BE4" s="193"/>
      <c r="BF4" s="193"/>
      <c r="BG4" s="193"/>
      <c r="BH4" s="193"/>
      <c r="BI4" s="193"/>
      <c r="BJ4" s="193"/>
      <c r="BK4" s="193"/>
      <c r="BL4" s="193"/>
      <c r="BM4" s="193"/>
      <c r="BN4" s="193"/>
      <c r="BO4" s="193"/>
      <c r="BP4" s="193"/>
      <c r="BQ4" s="193"/>
      <c r="BR4" s="193"/>
      <c r="BS4" s="193"/>
      <c r="BT4" s="193"/>
      <c r="BU4" s="193"/>
      <c r="BV4" s="193"/>
      <c r="BW4" s="193"/>
      <c r="BX4" s="193"/>
      <c r="BY4" s="193"/>
      <c r="BZ4" s="193"/>
      <c r="CA4" s="193"/>
      <c r="CB4" s="193"/>
      <c r="CC4" s="193"/>
      <c r="CD4" s="193"/>
      <c r="CE4" s="193"/>
      <c r="CF4" s="193"/>
      <c r="CG4" s="193"/>
      <c r="CH4" s="193"/>
      <c r="CI4" s="193"/>
      <c r="CJ4" s="193"/>
      <c r="CK4" s="193"/>
      <c r="CL4" s="193"/>
      <c r="CM4" s="193"/>
      <c r="CN4" s="193"/>
      <c r="CO4" s="193"/>
      <c r="CP4" s="193"/>
      <c r="CQ4" s="193"/>
      <c r="CR4" s="193"/>
      <c r="CS4" s="193"/>
      <c r="CT4" s="193"/>
      <c r="CU4" s="193"/>
      <c r="CV4" s="193"/>
      <c r="CW4" s="193"/>
      <c r="CX4" s="193"/>
      <c r="CY4" s="193"/>
      <c r="CZ4" s="193"/>
      <c r="DA4" s="193"/>
      <c r="DB4" s="193"/>
      <c r="DC4" s="193"/>
      <c r="DD4" s="193"/>
      <c r="DE4" s="193"/>
      <c r="DF4" s="193"/>
      <c r="DG4" s="193"/>
      <c r="DH4" s="193"/>
      <c r="DI4" s="193"/>
      <c r="DJ4" s="193"/>
      <c r="DK4" s="193"/>
      <c r="DL4" s="193"/>
      <c r="DM4" s="193"/>
      <c r="DN4" s="193"/>
      <c r="DO4" s="193"/>
      <c r="DP4" s="193"/>
      <c r="DQ4" s="193"/>
      <c r="DR4" s="193"/>
      <c r="DS4" s="193"/>
      <c r="DT4" s="193"/>
      <c r="DU4" s="193"/>
      <c r="DV4" s="193"/>
      <c r="DW4" s="193"/>
      <c r="DX4" s="193"/>
      <c r="DY4" s="193"/>
      <c r="DZ4" s="193"/>
      <c r="EA4" s="193"/>
      <c r="EB4" s="193"/>
      <c r="EC4" s="193"/>
      <c r="ED4" s="193"/>
      <c r="EE4" s="193"/>
      <c r="EF4" s="193"/>
      <c r="EG4" s="193"/>
      <c r="EH4" s="193"/>
      <c r="EI4" s="193"/>
      <c r="EJ4" s="193"/>
      <c r="EK4" s="193"/>
      <c r="EL4" s="193"/>
      <c r="EM4" s="193"/>
      <c r="EN4" s="193"/>
      <c r="EO4" s="193"/>
      <c r="EP4" s="193"/>
      <c r="EQ4" s="193"/>
      <c r="ER4" s="193"/>
      <c r="ES4" s="193"/>
      <c r="ET4" s="193"/>
      <c r="EU4" s="193"/>
      <c r="EV4" s="193"/>
      <c r="EW4" s="193"/>
      <c r="EX4" s="193"/>
      <c r="EY4" s="193"/>
      <c r="EZ4" s="193"/>
      <c r="FA4" s="193"/>
      <c r="FB4" s="193"/>
      <c r="FC4" s="193"/>
      <c r="FD4" s="193"/>
      <c r="FE4" s="193"/>
      <c r="FF4" s="193"/>
      <c r="FG4" s="193"/>
      <c r="FH4" s="193"/>
      <c r="FI4" s="193"/>
      <c r="FJ4" s="193"/>
      <c r="FK4" s="193"/>
      <c r="FL4" s="193"/>
      <c r="FM4" s="193"/>
      <c r="FN4" s="193"/>
      <c r="FO4" s="193"/>
      <c r="FP4" s="193"/>
      <c r="FQ4" s="193"/>
      <c r="FR4" s="193"/>
      <c r="FS4" s="193"/>
      <c r="FT4" s="193"/>
      <c r="FU4" s="193"/>
      <c r="FV4" s="193"/>
      <c r="FW4" s="193"/>
      <c r="FX4" s="193"/>
      <c r="FY4" s="193"/>
      <c r="FZ4" s="193"/>
      <c r="GA4" s="193"/>
      <c r="GB4" s="193"/>
      <c r="GC4" s="193"/>
      <c r="GD4" s="193"/>
      <c r="GE4" s="193"/>
      <c r="GF4" s="193"/>
      <c r="GG4" s="193"/>
      <c r="GH4" s="193"/>
      <c r="GI4" s="193"/>
      <c r="GJ4" s="193"/>
      <c r="GK4" s="193"/>
      <c r="GL4" s="193"/>
      <c r="GM4" s="193"/>
      <c r="GN4" s="193"/>
      <c r="GO4" s="193"/>
      <c r="GP4" s="193"/>
      <c r="GQ4" s="193"/>
      <c r="GR4" s="193"/>
      <c r="GS4" s="193"/>
      <c r="GT4" s="193"/>
      <c r="GU4" s="193"/>
      <c r="GV4" s="193"/>
      <c r="GW4" s="193"/>
      <c r="GX4" s="193"/>
      <c r="GY4" s="193"/>
      <c r="GZ4" s="193"/>
      <c r="HA4" s="193"/>
      <c r="HB4" s="193"/>
      <c r="HC4" s="193"/>
      <c r="HD4" s="193"/>
      <c r="HE4" s="193"/>
      <c r="HF4" s="193"/>
      <c r="HG4" s="193"/>
      <c r="HH4" s="193"/>
      <c r="HI4" s="193"/>
      <c r="HJ4" s="193"/>
      <c r="HK4" s="193"/>
      <c r="HL4" s="193"/>
      <c r="HM4" s="193"/>
      <c r="HN4" s="193"/>
      <c r="HO4" s="193"/>
      <c r="HP4" s="193"/>
      <c r="HQ4" s="193"/>
      <c r="HR4" s="193"/>
      <c r="HS4" s="193"/>
      <c r="HT4" s="193"/>
      <c r="HU4" s="193"/>
      <c r="HV4" s="193"/>
      <c r="HW4" s="193"/>
      <c r="HX4" s="193"/>
      <c r="HY4" s="193"/>
      <c r="HZ4" s="193"/>
      <c r="IA4" s="193"/>
      <c r="IB4" s="193"/>
      <c r="IC4" s="193"/>
      <c r="ID4" s="193"/>
      <c r="IE4" s="193"/>
      <c r="IF4" s="193"/>
      <c r="IG4" s="193"/>
      <c r="IH4" s="193"/>
      <c r="II4" s="193"/>
      <c r="IJ4" s="193"/>
      <c r="IK4" s="193"/>
      <c r="IL4" s="193"/>
      <c r="IM4" s="193"/>
      <c r="IN4" s="193"/>
      <c r="IO4" s="193"/>
      <c r="IP4" s="193"/>
      <c r="IQ4" s="193"/>
      <c r="IR4" s="193"/>
      <c r="IS4" s="193"/>
      <c r="IT4" s="193"/>
      <c r="IU4" s="193"/>
      <c r="IV4" s="193"/>
    </row>
    <row r="5" spans="1:256" s="208" customFormat="1" ht="16.5" customHeight="1" x14ac:dyDescent="0.2">
      <c r="A5" s="199"/>
      <c r="B5" s="215"/>
      <c r="C5" s="215"/>
      <c r="D5" s="215"/>
      <c r="E5" s="215"/>
      <c r="F5" s="215"/>
      <c r="H5" s="677"/>
      <c r="I5" s="677"/>
      <c r="J5" s="677"/>
      <c r="K5" s="677"/>
      <c r="L5" s="677"/>
      <c r="M5" s="677"/>
      <c r="N5" s="677"/>
      <c r="O5" s="677"/>
      <c r="P5" s="677"/>
      <c r="Q5" s="677"/>
      <c r="R5" s="677"/>
      <c r="S5" s="677"/>
      <c r="T5" s="677"/>
      <c r="U5" s="677"/>
      <c r="V5" s="677"/>
      <c r="W5" s="677"/>
      <c r="X5" s="677"/>
      <c r="Y5" s="677"/>
      <c r="Z5" s="677"/>
      <c r="AA5" s="193"/>
      <c r="AB5" s="193"/>
      <c r="AC5" s="193"/>
      <c r="AD5" s="193"/>
      <c r="AE5" s="193"/>
      <c r="AF5" s="193"/>
      <c r="AG5" s="193"/>
      <c r="AH5" s="193"/>
      <c r="AI5" s="193"/>
      <c r="AJ5" s="193"/>
      <c r="AK5" s="193"/>
      <c r="AL5" s="193"/>
      <c r="AM5" s="193"/>
      <c r="AN5" s="193"/>
      <c r="AO5" s="193"/>
      <c r="AP5" s="193"/>
      <c r="AQ5" s="193"/>
      <c r="AR5" s="193"/>
      <c r="AS5" s="193"/>
      <c r="AT5" s="193"/>
      <c r="AU5" s="193"/>
      <c r="AV5" s="193"/>
      <c r="AW5" s="193"/>
      <c r="AX5" s="193"/>
      <c r="AY5" s="193"/>
      <c r="AZ5" s="193"/>
      <c r="BA5" s="193"/>
      <c r="BB5" s="193"/>
      <c r="BC5" s="193"/>
      <c r="BD5" s="193"/>
      <c r="BE5" s="193"/>
      <c r="BF5" s="193"/>
      <c r="BG5" s="193"/>
      <c r="BH5" s="193"/>
      <c r="BI5" s="193"/>
      <c r="BJ5" s="193"/>
      <c r="BK5" s="193"/>
      <c r="BL5" s="193"/>
      <c r="BM5" s="193"/>
      <c r="BN5" s="193"/>
      <c r="BO5" s="193"/>
      <c r="BP5" s="193"/>
      <c r="BQ5" s="193"/>
      <c r="BR5" s="193"/>
      <c r="BS5" s="193"/>
      <c r="BT5" s="193"/>
      <c r="BU5" s="193"/>
      <c r="BV5" s="193"/>
      <c r="BW5" s="193"/>
      <c r="BX5" s="193"/>
      <c r="BY5" s="193"/>
      <c r="BZ5" s="193"/>
      <c r="CA5" s="193"/>
      <c r="CB5" s="193"/>
      <c r="CC5" s="193"/>
      <c r="CD5" s="193"/>
      <c r="CE5" s="193"/>
      <c r="CF5" s="193"/>
      <c r="CG5" s="193"/>
      <c r="CH5" s="193"/>
      <c r="CI5" s="193"/>
      <c r="CJ5" s="193"/>
      <c r="CK5" s="193"/>
      <c r="CL5" s="193"/>
      <c r="CM5" s="193"/>
      <c r="CN5" s="193"/>
      <c r="CO5" s="193"/>
      <c r="CP5" s="193"/>
      <c r="CQ5" s="193"/>
      <c r="CR5" s="193"/>
      <c r="CS5" s="193"/>
      <c r="CT5" s="193"/>
      <c r="CU5" s="193"/>
      <c r="CV5" s="193"/>
      <c r="CW5" s="193"/>
      <c r="CX5" s="193"/>
      <c r="CY5" s="193"/>
      <c r="CZ5" s="193"/>
      <c r="DA5" s="193"/>
      <c r="DB5" s="193"/>
      <c r="DC5" s="193"/>
      <c r="DD5" s="193"/>
      <c r="DE5" s="193"/>
      <c r="DF5" s="193"/>
      <c r="DG5" s="193"/>
      <c r="DH5" s="193"/>
      <c r="DI5" s="193"/>
      <c r="DJ5" s="193"/>
      <c r="DK5" s="193"/>
      <c r="DL5" s="193"/>
      <c r="DM5" s="193"/>
      <c r="DN5" s="193"/>
      <c r="DO5" s="193"/>
      <c r="DP5" s="193"/>
      <c r="DQ5" s="193"/>
      <c r="DR5" s="193"/>
      <c r="DS5" s="193"/>
      <c r="DT5" s="193"/>
      <c r="DU5" s="193"/>
      <c r="DV5" s="193"/>
      <c r="DW5" s="193"/>
      <c r="DX5" s="193"/>
      <c r="DY5" s="193"/>
      <c r="DZ5" s="193"/>
      <c r="EA5" s="193"/>
      <c r="EB5" s="193"/>
      <c r="EC5" s="193"/>
      <c r="ED5" s="193"/>
      <c r="EE5" s="193"/>
      <c r="EF5" s="193"/>
      <c r="EG5" s="193"/>
      <c r="EH5" s="193"/>
      <c r="EI5" s="193"/>
      <c r="EJ5" s="193"/>
      <c r="EK5" s="193"/>
      <c r="EL5" s="193"/>
      <c r="EM5" s="193"/>
      <c r="EN5" s="193"/>
      <c r="EO5" s="193"/>
      <c r="EP5" s="193"/>
      <c r="EQ5" s="193"/>
      <c r="ER5" s="193"/>
      <c r="ES5" s="193"/>
      <c r="ET5" s="193"/>
      <c r="EU5" s="193"/>
      <c r="EV5" s="193"/>
      <c r="EW5" s="193"/>
      <c r="EX5" s="193"/>
      <c r="EY5" s="193"/>
      <c r="EZ5" s="193"/>
      <c r="FA5" s="193"/>
      <c r="FB5" s="193"/>
      <c r="FC5" s="193"/>
      <c r="FD5" s="193"/>
      <c r="FE5" s="193"/>
      <c r="FF5" s="193"/>
      <c r="FG5" s="193"/>
      <c r="FH5" s="193"/>
      <c r="FI5" s="193"/>
      <c r="FJ5" s="193"/>
      <c r="FK5" s="193"/>
      <c r="FL5" s="193"/>
      <c r="FM5" s="193"/>
      <c r="FN5" s="193"/>
      <c r="FO5" s="193"/>
      <c r="FP5" s="193"/>
      <c r="FQ5" s="193"/>
      <c r="FR5" s="193"/>
      <c r="FS5" s="193"/>
      <c r="FT5" s="193"/>
      <c r="FU5" s="193"/>
      <c r="FV5" s="193"/>
      <c r="FW5" s="193"/>
      <c r="FX5" s="193"/>
      <c r="FY5" s="193"/>
      <c r="FZ5" s="193"/>
      <c r="GA5" s="193"/>
      <c r="GB5" s="193"/>
      <c r="GC5" s="193"/>
      <c r="GD5" s="193"/>
      <c r="GE5" s="193"/>
      <c r="GF5" s="193"/>
      <c r="GG5" s="193"/>
      <c r="GH5" s="193"/>
      <c r="GI5" s="193"/>
      <c r="GJ5" s="193"/>
      <c r="GK5" s="193"/>
      <c r="GL5" s="193"/>
      <c r="GM5" s="193"/>
      <c r="GN5" s="193"/>
      <c r="GO5" s="193"/>
      <c r="GP5" s="193"/>
      <c r="GQ5" s="193"/>
      <c r="GR5" s="193"/>
      <c r="GS5" s="193"/>
      <c r="GT5" s="193"/>
      <c r="GU5" s="193"/>
      <c r="GV5" s="193"/>
      <c r="GW5" s="193"/>
      <c r="GX5" s="193"/>
      <c r="GY5" s="193"/>
      <c r="GZ5" s="193"/>
      <c r="HA5" s="193"/>
      <c r="HB5" s="193"/>
      <c r="HC5" s="193"/>
      <c r="HD5" s="193"/>
      <c r="HE5" s="193"/>
      <c r="HF5" s="193"/>
      <c r="HG5" s="193"/>
      <c r="HH5" s="193"/>
      <c r="HI5" s="193"/>
      <c r="HJ5" s="193"/>
      <c r="HK5" s="193"/>
      <c r="HL5" s="193"/>
      <c r="HM5" s="193"/>
      <c r="HN5" s="193"/>
      <c r="HO5" s="193"/>
      <c r="HP5" s="193"/>
      <c r="HQ5" s="193"/>
      <c r="HR5" s="193"/>
      <c r="HS5" s="193"/>
      <c r="HT5" s="193"/>
      <c r="HU5" s="193"/>
      <c r="HV5" s="193"/>
      <c r="HW5" s="193"/>
      <c r="HX5" s="193"/>
      <c r="HY5" s="193"/>
      <c r="HZ5" s="193"/>
      <c r="IA5" s="193"/>
      <c r="IB5" s="193"/>
      <c r="IC5" s="193"/>
      <c r="ID5" s="193"/>
      <c r="IE5" s="193"/>
      <c r="IF5" s="193"/>
      <c r="IG5" s="193"/>
      <c r="IH5" s="193"/>
      <c r="II5" s="193"/>
      <c r="IJ5" s="193"/>
      <c r="IK5" s="193"/>
      <c r="IL5" s="193"/>
      <c r="IM5" s="193"/>
      <c r="IN5" s="193"/>
      <c r="IO5" s="193"/>
      <c r="IP5" s="193"/>
      <c r="IQ5" s="193"/>
      <c r="IR5" s="193"/>
      <c r="IS5" s="193"/>
      <c r="IT5" s="193"/>
      <c r="IU5" s="193"/>
      <c r="IV5" s="193"/>
    </row>
    <row r="6" spans="1:256" s="107" customFormat="1" ht="16.5" customHeight="1" x14ac:dyDescent="0.2">
      <c r="A6" s="702" t="s">
        <v>73</v>
      </c>
      <c r="B6" s="595"/>
      <c r="C6" s="595"/>
      <c r="D6" s="595"/>
      <c r="E6" s="595"/>
      <c r="F6" s="595"/>
      <c r="G6" s="209"/>
      <c r="H6" s="777"/>
      <c r="I6" s="777"/>
      <c r="J6" s="777"/>
      <c r="K6" s="777"/>
      <c r="L6" s="777"/>
      <c r="M6" s="777"/>
      <c r="N6" s="777"/>
      <c r="O6" s="777"/>
      <c r="P6" s="777"/>
      <c r="Q6" s="777"/>
      <c r="R6" s="777"/>
      <c r="S6" s="777"/>
      <c r="T6" s="777"/>
      <c r="U6" s="777"/>
      <c r="V6" s="777"/>
      <c r="W6" s="777"/>
      <c r="X6" s="777"/>
      <c r="Y6" s="777"/>
      <c r="Z6" s="777"/>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c r="DH6" s="106"/>
      <c r="DI6" s="106"/>
      <c r="DJ6" s="106"/>
      <c r="DK6" s="106"/>
      <c r="DL6" s="106"/>
      <c r="DM6" s="106"/>
      <c r="DN6" s="106"/>
      <c r="DO6" s="106"/>
      <c r="DP6" s="106"/>
      <c r="DQ6" s="106"/>
      <c r="DR6" s="106"/>
      <c r="DS6" s="106"/>
      <c r="DT6" s="106"/>
      <c r="DU6" s="106"/>
      <c r="DV6" s="106"/>
      <c r="DW6" s="106"/>
      <c r="DX6" s="106"/>
      <c r="DY6" s="106"/>
      <c r="DZ6" s="106"/>
      <c r="EA6" s="106"/>
      <c r="EB6" s="106"/>
      <c r="EC6" s="106"/>
      <c r="ED6" s="106"/>
      <c r="EE6" s="106"/>
      <c r="EF6" s="106"/>
      <c r="EG6" s="106"/>
      <c r="EH6" s="106"/>
      <c r="EI6" s="106"/>
      <c r="EJ6" s="106"/>
      <c r="EK6" s="106"/>
      <c r="EL6" s="106"/>
      <c r="EM6" s="106"/>
      <c r="EN6" s="106"/>
      <c r="EO6" s="106"/>
      <c r="EP6" s="106"/>
      <c r="EQ6" s="106"/>
      <c r="ER6" s="106"/>
      <c r="ES6" s="106"/>
      <c r="ET6" s="106"/>
      <c r="EU6" s="106"/>
      <c r="EV6" s="106"/>
      <c r="EW6" s="106"/>
      <c r="EX6" s="106"/>
      <c r="EY6" s="106"/>
      <c r="EZ6" s="106"/>
      <c r="FA6" s="106"/>
      <c r="FB6" s="106"/>
      <c r="FC6" s="106"/>
      <c r="FD6" s="106"/>
      <c r="FE6" s="106"/>
      <c r="FF6" s="106"/>
      <c r="FG6" s="106"/>
      <c r="FH6" s="106"/>
      <c r="FI6" s="106"/>
      <c r="FJ6" s="106"/>
      <c r="FK6" s="106"/>
      <c r="FL6" s="106"/>
      <c r="FM6" s="106"/>
      <c r="FN6" s="106"/>
      <c r="FO6" s="106"/>
      <c r="FP6" s="106"/>
      <c r="FQ6" s="106"/>
      <c r="FR6" s="106"/>
      <c r="FS6" s="106"/>
      <c r="FT6" s="106"/>
      <c r="FU6" s="106"/>
      <c r="FV6" s="106"/>
      <c r="FW6" s="106"/>
      <c r="FX6" s="106"/>
      <c r="FY6" s="106"/>
      <c r="FZ6" s="106"/>
      <c r="GA6" s="106"/>
      <c r="GB6" s="106"/>
      <c r="GC6" s="106"/>
      <c r="GD6" s="106"/>
      <c r="GE6" s="106"/>
      <c r="GF6" s="106"/>
      <c r="GG6" s="106"/>
      <c r="GH6" s="106"/>
      <c r="GI6" s="106"/>
      <c r="GJ6" s="106"/>
      <c r="GK6" s="106"/>
      <c r="GL6" s="106"/>
      <c r="GM6" s="106"/>
      <c r="GN6" s="106"/>
      <c r="GO6" s="106"/>
      <c r="GP6" s="106"/>
      <c r="GQ6" s="106"/>
      <c r="GR6" s="106"/>
      <c r="GS6" s="106"/>
      <c r="GT6" s="106"/>
      <c r="GU6" s="106"/>
      <c r="GV6" s="106"/>
      <c r="GW6" s="106"/>
      <c r="GX6" s="106"/>
      <c r="GY6" s="106"/>
      <c r="GZ6" s="106"/>
      <c r="HA6" s="106"/>
      <c r="HB6" s="106"/>
      <c r="HC6" s="106"/>
      <c r="HD6" s="106"/>
      <c r="HE6" s="106"/>
      <c r="HF6" s="106"/>
      <c r="HG6" s="106"/>
      <c r="HH6" s="106"/>
      <c r="HI6" s="106"/>
      <c r="HJ6" s="106"/>
      <c r="HK6" s="106"/>
      <c r="HL6" s="106"/>
      <c r="HM6" s="106"/>
      <c r="HN6" s="106"/>
      <c r="HO6" s="106"/>
      <c r="HP6" s="106"/>
      <c r="HQ6" s="106"/>
      <c r="HR6" s="106"/>
      <c r="HS6" s="106"/>
      <c r="HT6" s="106"/>
      <c r="HU6" s="106"/>
      <c r="HV6" s="106"/>
      <c r="HW6" s="106"/>
      <c r="HX6" s="106"/>
      <c r="HY6" s="106"/>
      <c r="HZ6" s="106"/>
      <c r="IA6" s="106"/>
      <c r="IB6" s="106"/>
      <c r="IC6" s="106"/>
      <c r="ID6" s="106"/>
      <c r="IE6" s="106"/>
      <c r="IF6" s="106"/>
      <c r="IG6" s="106"/>
      <c r="IH6" s="106"/>
      <c r="II6" s="106"/>
      <c r="IJ6" s="106"/>
      <c r="IK6" s="106"/>
      <c r="IL6" s="106"/>
      <c r="IM6" s="106"/>
      <c r="IN6" s="106"/>
      <c r="IO6" s="106"/>
      <c r="IP6" s="106"/>
      <c r="IQ6" s="106"/>
      <c r="IR6" s="106"/>
      <c r="IS6" s="106"/>
      <c r="IT6" s="106"/>
      <c r="IU6" s="106"/>
      <c r="IV6" s="106"/>
    </row>
    <row r="7" spans="1:256" s="211" customFormat="1" ht="16.5" customHeight="1" x14ac:dyDescent="0.2">
      <c r="A7" s="703" t="s">
        <v>74</v>
      </c>
      <c r="B7" s="212"/>
      <c r="C7" s="212"/>
      <c r="D7" s="212"/>
      <c r="E7" s="212"/>
      <c r="F7" s="212"/>
      <c r="G7" s="212"/>
      <c r="H7" s="777"/>
      <c r="I7" s="777"/>
      <c r="J7" s="777"/>
      <c r="K7" s="777"/>
      <c r="L7" s="777"/>
      <c r="M7" s="777"/>
      <c r="N7" s="777"/>
      <c r="O7" s="777"/>
      <c r="P7" s="777"/>
      <c r="Q7" s="777"/>
      <c r="R7" s="777"/>
      <c r="S7" s="777"/>
      <c r="T7" s="777"/>
      <c r="U7" s="777"/>
      <c r="V7" s="777"/>
      <c r="W7" s="777"/>
      <c r="X7" s="777"/>
      <c r="Y7" s="777"/>
      <c r="Z7" s="777"/>
    </row>
    <row r="8" spans="1:256" s="193" customFormat="1" ht="16.5" customHeight="1" x14ac:dyDescent="0.2">
      <c r="B8" s="199"/>
      <c r="C8" s="199"/>
      <c r="D8" s="199"/>
      <c r="E8" s="199"/>
      <c r="F8" s="199"/>
      <c r="G8" s="199"/>
      <c r="H8" s="677"/>
      <c r="I8" s="786"/>
      <c r="J8" s="786"/>
      <c r="K8" s="786"/>
      <c r="L8" s="786"/>
      <c r="M8" s="677"/>
      <c r="N8" s="677"/>
      <c r="O8" s="677"/>
      <c r="P8" s="677"/>
      <c r="Q8" s="677"/>
      <c r="R8" s="677"/>
      <c r="S8" s="677"/>
      <c r="T8" s="677"/>
      <c r="U8" s="677"/>
      <c r="V8" s="677"/>
      <c r="W8" s="677"/>
      <c r="X8" s="677"/>
      <c r="Y8" s="677"/>
      <c r="Z8" s="677"/>
    </row>
    <row r="9" spans="1:256" s="492" customFormat="1" ht="16.5" customHeight="1" x14ac:dyDescent="0.2">
      <c r="A9" s="199"/>
      <c r="B9" s="468" t="s">
        <v>493</v>
      </c>
      <c r="C9" s="269"/>
      <c r="D9" s="269"/>
      <c r="E9" s="269"/>
      <c r="F9" s="269"/>
      <c r="G9" s="269"/>
      <c r="H9" s="677"/>
      <c r="I9" s="677"/>
      <c r="J9" s="677"/>
      <c r="K9" s="677"/>
      <c r="L9" s="677"/>
      <c r="M9" s="677"/>
      <c r="N9" s="677"/>
      <c r="O9" s="677"/>
      <c r="P9" s="677"/>
      <c r="Q9" s="677"/>
      <c r="R9" s="677"/>
      <c r="S9" s="677"/>
      <c r="T9" s="677"/>
      <c r="U9" s="677"/>
      <c r="V9" s="677"/>
      <c r="W9" s="677"/>
      <c r="X9" s="677"/>
      <c r="Y9" s="677"/>
      <c r="Z9" s="677"/>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193"/>
      <c r="CO9" s="193"/>
      <c r="CP9" s="193"/>
      <c r="CQ9" s="193"/>
      <c r="CR9" s="193"/>
      <c r="CS9" s="193"/>
      <c r="CT9" s="193"/>
      <c r="CU9" s="193"/>
      <c r="CV9" s="193"/>
      <c r="CW9" s="193"/>
      <c r="CX9" s="193"/>
      <c r="CY9" s="193"/>
      <c r="CZ9" s="193"/>
      <c r="DA9" s="193"/>
      <c r="DB9" s="193"/>
      <c r="DC9" s="193"/>
      <c r="DD9" s="193"/>
      <c r="DE9" s="193"/>
      <c r="DF9" s="193"/>
      <c r="DG9" s="193"/>
      <c r="DH9" s="193"/>
      <c r="DI9" s="193"/>
      <c r="DJ9" s="193"/>
      <c r="DK9" s="193"/>
      <c r="DL9" s="193"/>
      <c r="DM9" s="193"/>
      <c r="DN9" s="193"/>
      <c r="DO9" s="193"/>
      <c r="DP9" s="193"/>
      <c r="DQ9" s="193"/>
      <c r="DR9" s="193"/>
      <c r="DS9" s="193"/>
      <c r="DT9" s="193"/>
      <c r="DU9" s="193"/>
      <c r="DV9" s="193"/>
      <c r="DW9" s="193"/>
      <c r="DX9" s="193"/>
      <c r="DY9" s="193"/>
      <c r="DZ9" s="193"/>
      <c r="EA9" s="193"/>
      <c r="EB9" s="193"/>
      <c r="EC9" s="193"/>
      <c r="ED9" s="193"/>
      <c r="EE9" s="193"/>
      <c r="EF9" s="193"/>
      <c r="EG9" s="193"/>
      <c r="EH9" s="193"/>
      <c r="EI9" s="193"/>
      <c r="EJ9" s="193"/>
      <c r="EK9" s="193"/>
      <c r="EL9" s="193"/>
      <c r="EM9" s="193"/>
      <c r="EN9" s="193"/>
      <c r="EO9" s="193"/>
      <c r="EP9" s="193"/>
      <c r="EQ9" s="193"/>
      <c r="ER9" s="193"/>
      <c r="ES9" s="193"/>
      <c r="ET9" s="193"/>
      <c r="EU9" s="193"/>
      <c r="EV9" s="193"/>
      <c r="EW9" s="193"/>
      <c r="EX9" s="193"/>
      <c r="EY9" s="193"/>
      <c r="EZ9" s="193"/>
      <c r="FA9" s="193"/>
      <c r="FB9" s="193"/>
      <c r="FC9" s="193"/>
      <c r="FD9" s="193"/>
      <c r="FE9" s="193"/>
      <c r="FF9" s="193"/>
      <c r="FG9" s="193"/>
      <c r="FH9" s="193"/>
      <c r="FI9" s="193"/>
      <c r="FJ9" s="193"/>
      <c r="FK9" s="193"/>
      <c r="FL9" s="193"/>
      <c r="FM9" s="193"/>
      <c r="FN9" s="193"/>
      <c r="FO9" s="193"/>
      <c r="FP9" s="193"/>
      <c r="FQ9" s="193"/>
      <c r="FR9" s="193"/>
      <c r="FS9" s="193"/>
      <c r="FT9" s="193"/>
      <c r="FU9" s="193"/>
      <c r="FV9" s="193"/>
      <c r="FW9" s="193"/>
      <c r="FX9" s="193"/>
      <c r="FY9" s="193"/>
      <c r="FZ9" s="193"/>
      <c r="GA9" s="193"/>
      <c r="GB9" s="193"/>
      <c r="GC9" s="193"/>
      <c r="GD9" s="193"/>
      <c r="GE9" s="193"/>
      <c r="GF9" s="193"/>
      <c r="GG9" s="193"/>
      <c r="GH9" s="193"/>
      <c r="GI9" s="193"/>
      <c r="GJ9" s="193"/>
      <c r="GK9" s="193"/>
      <c r="GL9" s="193"/>
      <c r="GM9" s="193"/>
      <c r="GN9" s="193"/>
      <c r="GO9" s="193"/>
      <c r="GP9" s="193"/>
      <c r="GQ9" s="193"/>
      <c r="GR9" s="193"/>
      <c r="GS9" s="193"/>
      <c r="GT9" s="193"/>
      <c r="GU9" s="193"/>
      <c r="GV9" s="193"/>
      <c r="GW9" s="193"/>
      <c r="GX9" s="193"/>
      <c r="GY9" s="193"/>
      <c r="GZ9" s="193"/>
      <c r="HA9" s="193"/>
      <c r="HB9" s="193"/>
      <c r="HC9" s="193"/>
      <c r="HD9" s="193"/>
      <c r="HE9" s="193"/>
      <c r="HF9" s="193"/>
      <c r="HG9" s="193"/>
      <c r="HH9" s="193"/>
      <c r="HI9" s="193"/>
      <c r="HJ9" s="193"/>
      <c r="HK9" s="193"/>
      <c r="HL9" s="193"/>
      <c r="HM9" s="193"/>
      <c r="HN9" s="193"/>
      <c r="HO9" s="193"/>
      <c r="HP9" s="193"/>
      <c r="HQ9" s="193"/>
      <c r="HR9" s="193"/>
      <c r="HS9" s="193"/>
      <c r="HT9" s="193"/>
      <c r="HU9" s="193"/>
      <c r="HV9" s="193"/>
      <c r="HW9" s="193"/>
      <c r="HX9" s="193"/>
      <c r="HY9" s="193"/>
      <c r="HZ9" s="193"/>
      <c r="IA9" s="193"/>
      <c r="IB9" s="193"/>
      <c r="IC9" s="193"/>
      <c r="ID9" s="193"/>
      <c r="IE9" s="193"/>
      <c r="IF9" s="193"/>
      <c r="IG9" s="193"/>
      <c r="IH9" s="193"/>
      <c r="II9" s="193"/>
      <c r="IJ9" s="193"/>
      <c r="IK9" s="193"/>
      <c r="IL9" s="193"/>
      <c r="IM9" s="193"/>
      <c r="IN9" s="193"/>
      <c r="IO9" s="193"/>
      <c r="IP9" s="193"/>
      <c r="IQ9" s="193"/>
      <c r="IR9" s="193"/>
      <c r="IS9" s="193"/>
      <c r="IT9" s="193"/>
      <c r="IU9" s="193"/>
      <c r="IV9" s="193"/>
    </row>
    <row r="10" spans="1:256" s="492" customFormat="1" ht="16.5" customHeight="1" x14ac:dyDescent="0.2">
      <c r="A10" s="246" t="s">
        <v>241</v>
      </c>
      <c r="B10" s="58">
        <f>'Common-size FS'!B9</f>
        <v>2010</v>
      </c>
      <c r="C10" s="58">
        <f>B10+1</f>
        <v>2011</v>
      </c>
      <c r="D10" s="58">
        <f>C10+1</f>
        <v>2012</v>
      </c>
      <c r="E10" s="58">
        <f>D10+1</f>
        <v>2013</v>
      </c>
      <c r="F10" s="58">
        <f>E10+1</f>
        <v>2014</v>
      </c>
      <c r="G10" s="58">
        <f>F10+1</f>
        <v>2015</v>
      </c>
      <c r="H10" s="1062"/>
      <c r="I10" s="677"/>
      <c r="J10" s="677"/>
      <c r="K10" s="677"/>
      <c r="L10" s="677"/>
      <c r="M10" s="677"/>
      <c r="N10" s="677"/>
      <c r="O10" s="677"/>
      <c r="P10" s="677"/>
      <c r="Q10" s="677"/>
      <c r="R10" s="677"/>
      <c r="S10" s="677"/>
      <c r="T10" s="677"/>
      <c r="U10" s="677"/>
      <c r="V10" s="677"/>
      <c r="W10" s="677"/>
      <c r="X10" s="677"/>
      <c r="Y10" s="677"/>
      <c r="Z10" s="677"/>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3"/>
      <c r="BM10" s="193"/>
      <c r="BN10" s="193"/>
      <c r="BO10" s="193"/>
      <c r="BP10" s="193"/>
      <c r="BQ10" s="193"/>
      <c r="BR10" s="193"/>
      <c r="BS10" s="193"/>
      <c r="BT10" s="193"/>
      <c r="BU10" s="193"/>
      <c r="BV10" s="193"/>
      <c r="BW10" s="193"/>
      <c r="BX10" s="193"/>
      <c r="BY10" s="193"/>
      <c r="BZ10" s="193"/>
      <c r="CA10" s="193"/>
      <c r="CB10" s="193"/>
      <c r="CC10" s="193"/>
      <c r="CD10" s="193"/>
      <c r="CE10" s="193"/>
      <c r="CF10" s="193"/>
      <c r="CG10" s="193"/>
      <c r="CH10" s="193"/>
      <c r="CI10" s="193"/>
      <c r="CJ10" s="193"/>
      <c r="CK10" s="193"/>
      <c r="CL10" s="193"/>
      <c r="CM10" s="193"/>
      <c r="CN10" s="193"/>
      <c r="CO10" s="193"/>
      <c r="CP10" s="193"/>
      <c r="CQ10" s="193"/>
      <c r="CR10" s="193"/>
      <c r="CS10" s="193"/>
      <c r="CT10" s="193"/>
      <c r="CU10" s="193"/>
      <c r="CV10" s="193"/>
      <c r="CW10" s="193"/>
      <c r="CX10" s="193"/>
      <c r="CY10" s="193"/>
      <c r="CZ10" s="193"/>
      <c r="DA10" s="193"/>
      <c r="DB10" s="193"/>
      <c r="DC10" s="193"/>
      <c r="DD10" s="193"/>
      <c r="DE10" s="193"/>
      <c r="DF10" s="193"/>
      <c r="DG10" s="193"/>
      <c r="DH10" s="193"/>
      <c r="DI10" s="193"/>
      <c r="DJ10" s="193"/>
      <c r="DK10" s="193"/>
      <c r="DL10" s="193"/>
      <c r="DM10" s="193"/>
      <c r="DN10" s="193"/>
      <c r="DO10" s="193"/>
      <c r="DP10" s="193"/>
      <c r="DQ10" s="193"/>
      <c r="DR10" s="193"/>
      <c r="DS10" s="193"/>
      <c r="DT10" s="193"/>
      <c r="DU10" s="193"/>
      <c r="DV10" s="193"/>
      <c r="DW10" s="193"/>
      <c r="DX10" s="193"/>
      <c r="DY10" s="193"/>
      <c r="DZ10" s="193"/>
      <c r="EA10" s="193"/>
      <c r="EB10" s="193"/>
      <c r="EC10" s="193"/>
      <c r="ED10" s="193"/>
      <c r="EE10" s="193"/>
      <c r="EF10" s="193"/>
      <c r="EG10" s="193"/>
      <c r="EH10" s="193"/>
      <c r="EI10" s="193"/>
      <c r="EJ10" s="193"/>
      <c r="EK10" s="193"/>
      <c r="EL10" s="193"/>
      <c r="EM10" s="193"/>
      <c r="EN10" s="193"/>
      <c r="EO10" s="193"/>
      <c r="EP10" s="193"/>
      <c r="EQ10" s="193"/>
      <c r="ER10" s="193"/>
      <c r="ES10" s="193"/>
      <c r="ET10" s="193"/>
      <c r="EU10" s="193"/>
      <c r="EV10" s="193"/>
      <c r="EW10" s="193"/>
      <c r="EX10" s="193"/>
      <c r="EY10" s="193"/>
      <c r="EZ10" s="193"/>
      <c r="FA10" s="193"/>
      <c r="FB10" s="193"/>
      <c r="FC10" s="193"/>
      <c r="FD10" s="193"/>
      <c r="FE10" s="193"/>
      <c r="FF10" s="193"/>
      <c r="FG10" s="193"/>
      <c r="FH10" s="193"/>
      <c r="FI10" s="193"/>
      <c r="FJ10" s="193"/>
      <c r="FK10" s="193"/>
      <c r="FL10" s="193"/>
      <c r="FM10" s="193"/>
      <c r="FN10" s="193"/>
      <c r="FO10" s="193"/>
      <c r="FP10" s="193"/>
      <c r="FQ10" s="193"/>
      <c r="FR10" s="193"/>
      <c r="FS10" s="193"/>
      <c r="FT10" s="193"/>
      <c r="FU10" s="193"/>
      <c r="FV10" s="193"/>
      <c r="FW10" s="193"/>
      <c r="FX10" s="193"/>
      <c r="FY10" s="193"/>
      <c r="FZ10" s="193"/>
      <c r="GA10" s="193"/>
      <c r="GB10" s="193"/>
      <c r="GC10" s="193"/>
      <c r="GD10" s="193"/>
      <c r="GE10" s="193"/>
      <c r="GF10" s="193"/>
      <c r="GG10" s="193"/>
      <c r="GH10" s="193"/>
      <c r="GI10" s="193"/>
      <c r="GJ10" s="193"/>
      <c r="GK10" s="193"/>
      <c r="GL10" s="193"/>
      <c r="GM10" s="193"/>
      <c r="GN10" s="193"/>
      <c r="GO10" s="193"/>
      <c r="GP10" s="193"/>
      <c r="GQ10" s="193"/>
      <c r="GR10" s="193"/>
      <c r="GS10" s="193"/>
      <c r="GT10" s="193"/>
      <c r="GU10" s="193"/>
      <c r="GV10" s="193"/>
      <c r="GW10" s="193"/>
      <c r="GX10" s="193"/>
      <c r="GY10" s="193"/>
      <c r="GZ10" s="193"/>
      <c r="HA10" s="193"/>
      <c r="HB10" s="193"/>
      <c r="HC10" s="193"/>
      <c r="HD10" s="193"/>
      <c r="HE10" s="193"/>
      <c r="HF10" s="193"/>
      <c r="HG10" s="193"/>
      <c r="HH10" s="193"/>
      <c r="HI10" s="193"/>
      <c r="HJ10" s="193"/>
      <c r="HK10" s="193"/>
      <c r="HL10" s="193"/>
      <c r="HM10" s="193"/>
      <c r="HN10" s="193"/>
      <c r="HO10" s="193"/>
      <c r="HP10" s="193"/>
      <c r="HQ10" s="193"/>
      <c r="HR10" s="193"/>
      <c r="HS10" s="193"/>
      <c r="HT10" s="193"/>
      <c r="HU10" s="193"/>
      <c r="HV10" s="193"/>
      <c r="HW10" s="193"/>
      <c r="HX10" s="193"/>
      <c r="HY10" s="193"/>
      <c r="HZ10" s="193"/>
      <c r="IA10" s="193"/>
      <c r="IB10" s="193"/>
      <c r="IC10" s="193"/>
      <c r="ID10" s="193"/>
      <c r="IE10" s="193"/>
      <c r="IF10" s="193"/>
      <c r="IG10" s="193"/>
      <c r="IH10" s="193"/>
      <c r="II10" s="193"/>
      <c r="IJ10" s="193"/>
      <c r="IK10" s="193"/>
      <c r="IL10" s="193"/>
      <c r="IM10" s="193"/>
      <c r="IN10" s="193"/>
      <c r="IO10" s="193"/>
      <c r="IP10" s="193"/>
      <c r="IQ10" s="193"/>
      <c r="IR10" s="193"/>
      <c r="IS10" s="193"/>
      <c r="IT10" s="193"/>
      <c r="IU10" s="193"/>
      <c r="IV10" s="193"/>
    </row>
    <row r="11" spans="1:256" s="208" customFormat="1" ht="5.25" customHeight="1" x14ac:dyDescent="0.2">
      <c r="A11" s="596"/>
      <c r="B11" s="484"/>
      <c r="C11" s="268"/>
      <c r="D11" s="268"/>
      <c r="E11" s="268"/>
      <c r="F11" s="268"/>
      <c r="G11" s="268"/>
      <c r="H11" s="677"/>
      <c r="I11" s="677"/>
      <c r="J11" s="677"/>
      <c r="K11" s="677"/>
      <c r="L11" s="677"/>
      <c r="M11" s="677"/>
      <c r="N11" s="677"/>
      <c r="O11" s="677"/>
      <c r="P11" s="677"/>
      <c r="Q11" s="677"/>
      <c r="R11" s="677"/>
      <c r="S11" s="677"/>
      <c r="T11" s="677"/>
      <c r="U11" s="677"/>
      <c r="V11" s="677"/>
      <c r="W11" s="677"/>
      <c r="X11" s="677"/>
      <c r="Y11" s="677"/>
      <c r="Z11" s="677"/>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c r="BF11" s="193"/>
      <c r="BG11" s="193"/>
      <c r="BH11" s="193"/>
      <c r="BI11" s="193"/>
      <c r="BJ11" s="193"/>
      <c r="BK11" s="193"/>
      <c r="BL11" s="193"/>
      <c r="BM11" s="193"/>
      <c r="BN11" s="193"/>
      <c r="BO11" s="193"/>
      <c r="BP11" s="193"/>
      <c r="BQ11" s="193"/>
      <c r="BR11" s="193"/>
      <c r="BS11" s="193"/>
      <c r="BT11" s="193"/>
      <c r="BU11" s="193"/>
      <c r="BV11" s="193"/>
      <c r="BW11" s="193"/>
      <c r="BX11" s="193"/>
      <c r="BY11" s="193"/>
      <c r="BZ11" s="193"/>
      <c r="CA11" s="193"/>
      <c r="CB11" s="193"/>
      <c r="CC11" s="193"/>
      <c r="CD11" s="193"/>
      <c r="CE11" s="193"/>
      <c r="CF11" s="193"/>
      <c r="CG11" s="193"/>
      <c r="CH11" s="193"/>
      <c r="CI11" s="193"/>
      <c r="CJ11" s="193"/>
      <c r="CK11" s="193"/>
      <c r="CL11" s="193"/>
      <c r="CM11" s="193"/>
      <c r="CN11" s="193"/>
      <c r="CO11" s="193"/>
      <c r="CP11" s="193"/>
      <c r="CQ11" s="193"/>
      <c r="CR11" s="193"/>
      <c r="CS11" s="193"/>
      <c r="CT11" s="193"/>
      <c r="CU11" s="193"/>
      <c r="CV11" s="193"/>
      <c r="CW11" s="193"/>
      <c r="CX11" s="193"/>
      <c r="CY11" s="193"/>
      <c r="CZ11" s="193"/>
      <c r="DA11" s="193"/>
      <c r="DB11" s="193"/>
      <c r="DC11" s="193"/>
      <c r="DD11" s="193"/>
      <c r="DE11" s="193"/>
      <c r="DF11" s="193"/>
      <c r="DG11" s="193"/>
      <c r="DH11" s="193"/>
      <c r="DI11" s="193"/>
      <c r="DJ11" s="193"/>
      <c r="DK11" s="193"/>
      <c r="DL11" s="193"/>
      <c r="DM11" s="193"/>
      <c r="DN11" s="193"/>
      <c r="DO11" s="193"/>
      <c r="DP11" s="193"/>
      <c r="DQ11" s="193"/>
      <c r="DR11" s="193"/>
      <c r="DS11" s="193"/>
      <c r="DT11" s="193"/>
      <c r="DU11" s="193"/>
      <c r="DV11" s="193"/>
      <c r="DW11" s="193"/>
      <c r="DX11" s="193"/>
      <c r="DY11" s="193"/>
      <c r="DZ11" s="193"/>
      <c r="EA11" s="193"/>
      <c r="EB11" s="193"/>
      <c r="EC11" s="193"/>
      <c r="ED11" s="193"/>
      <c r="EE11" s="193"/>
      <c r="EF11" s="193"/>
      <c r="EG11" s="193"/>
      <c r="EH11" s="193"/>
      <c r="EI11" s="193"/>
      <c r="EJ11" s="193"/>
      <c r="EK11" s="193"/>
      <c r="EL11" s="193"/>
      <c r="EM11" s="193"/>
      <c r="EN11" s="193"/>
      <c r="EO11" s="193"/>
      <c r="EP11" s="193"/>
      <c r="EQ11" s="193"/>
      <c r="ER11" s="193"/>
      <c r="ES11" s="193"/>
      <c r="ET11" s="193"/>
      <c r="EU11" s="193"/>
      <c r="EV11" s="193"/>
      <c r="EW11" s="193"/>
      <c r="EX11" s="193"/>
      <c r="EY11" s="193"/>
      <c r="EZ11" s="193"/>
      <c r="FA11" s="193"/>
      <c r="FB11" s="193"/>
      <c r="FC11" s="193"/>
      <c r="FD11" s="193"/>
      <c r="FE11" s="193"/>
      <c r="FF11" s="193"/>
      <c r="FG11" s="193"/>
      <c r="FH11" s="193"/>
      <c r="FI11" s="193"/>
      <c r="FJ11" s="193"/>
      <c r="FK11" s="193"/>
      <c r="FL11" s="193"/>
      <c r="FM11" s="193"/>
      <c r="FN11" s="193"/>
      <c r="FO11" s="193"/>
      <c r="FP11" s="193"/>
      <c r="FQ11" s="193"/>
      <c r="FR11" s="193"/>
      <c r="FS11" s="193"/>
      <c r="FT11" s="193"/>
      <c r="FU11" s="193"/>
      <c r="FV11" s="193"/>
      <c r="FW11" s="193"/>
      <c r="FX11" s="193"/>
      <c r="FY11" s="193"/>
      <c r="FZ11" s="193"/>
      <c r="GA11" s="193"/>
      <c r="GB11" s="193"/>
      <c r="GC11" s="193"/>
      <c r="GD11" s="193"/>
      <c r="GE11" s="193"/>
      <c r="GF11" s="193"/>
      <c r="GG11" s="193"/>
      <c r="GH11" s="193"/>
      <c r="GI11" s="193"/>
      <c r="GJ11" s="193"/>
      <c r="GK11" s="193"/>
      <c r="GL11" s="193"/>
      <c r="GM11" s="193"/>
      <c r="GN11" s="193"/>
      <c r="GO11" s="193"/>
      <c r="GP11" s="193"/>
      <c r="GQ11" s="193"/>
      <c r="GR11" s="193"/>
      <c r="GS11" s="193"/>
      <c r="GT11" s="193"/>
      <c r="GU11" s="193"/>
      <c r="GV11" s="193"/>
      <c r="GW11" s="193"/>
      <c r="GX11" s="193"/>
      <c r="GY11" s="193"/>
      <c r="GZ11" s="193"/>
      <c r="HA11" s="193"/>
      <c r="HB11" s="193"/>
      <c r="HC11" s="193"/>
      <c r="HD11" s="193"/>
      <c r="HE11" s="193"/>
      <c r="HF11" s="193"/>
      <c r="HG11" s="193"/>
      <c r="HH11" s="193"/>
      <c r="HI11" s="193"/>
      <c r="HJ11" s="193"/>
      <c r="HK11" s="193"/>
      <c r="HL11" s="193"/>
      <c r="HM11" s="193"/>
      <c r="HN11" s="193"/>
      <c r="HO11" s="193"/>
      <c r="HP11" s="193"/>
      <c r="HQ11" s="193"/>
      <c r="HR11" s="193"/>
      <c r="HS11" s="193"/>
      <c r="HT11" s="193"/>
      <c r="HU11" s="193"/>
      <c r="HV11" s="193"/>
      <c r="HW11" s="193"/>
      <c r="HX11" s="193"/>
      <c r="HY11" s="193"/>
      <c r="HZ11" s="193"/>
      <c r="IA11" s="193"/>
      <c r="IB11" s="193"/>
      <c r="IC11" s="193"/>
      <c r="ID11" s="193"/>
      <c r="IE11" s="193"/>
      <c r="IF11" s="193"/>
      <c r="IG11" s="193"/>
      <c r="IH11" s="193"/>
      <c r="II11" s="193"/>
      <c r="IJ11" s="193"/>
      <c r="IK11" s="193"/>
      <c r="IL11" s="193"/>
      <c r="IM11" s="193"/>
      <c r="IN11" s="193"/>
      <c r="IO11" s="193"/>
      <c r="IP11" s="193"/>
      <c r="IQ11" s="193"/>
      <c r="IR11" s="193"/>
      <c r="IS11" s="193"/>
      <c r="IT11" s="193"/>
      <c r="IU11" s="193"/>
      <c r="IV11" s="193"/>
    </row>
    <row r="12" spans="1:256" s="492" customFormat="1" ht="16.5" customHeight="1" x14ac:dyDescent="0.2">
      <c r="A12" s="482" t="s">
        <v>541</v>
      </c>
      <c r="B12" s="220"/>
      <c r="C12" s="208"/>
      <c r="D12" s="208"/>
      <c r="E12" s="208"/>
      <c r="F12" s="208"/>
      <c r="G12" s="208"/>
      <c r="H12" s="677"/>
      <c r="I12" s="677"/>
      <c r="J12" s="677"/>
      <c r="K12" s="677"/>
      <c r="L12" s="677"/>
      <c r="M12" s="677"/>
      <c r="N12" s="677"/>
      <c r="O12" s="677"/>
      <c r="P12" s="677"/>
      <c r="Q12" s="677"/>
      <c r="R12" s="677"/>
      <c r="S12" s="677"/>
      <c r="T12" s="677"/>
      <c r="U12" s="677"/>
      <c r="V12" s="677"/>
      <c r="W12" s="677"/>
      <c r="X12" s="677"/>
      <c r="Y12" s="677"/>
      <c r="Z12" s="677"/>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c r="BF12" s="193"/>
      <c r="BG12" s="193"/>
      <c r="BH12" s="193"/>
      <c r="BI12" s="193"/>
      <c r="BJ12" s="193"/>
      <c r="BK12" s="193"/>
      <c r="BL12" s="193"/>
      <c r="BM12" s="193"/>
      <c r="BN12" s="193"/>
      <c r="BO12" s="193"/>
      <c r="BP12" s="193"/>
      <c r="BQ12" s="193"/>
      <c r="BR12" s="193"/>
      <c r="BS12" s="193"/>
      <c r="BT12" s="193"/>
      <c r="BU12" s="193"/>
      <c r="BV12" s="193"/>
      <c r="BW12" s="193"/>
      <c r="BX12" s="193"/>
      <c r="BY12" s="193"/>
      <c r="BZ12" s="193"/>
      <c r="CA12" s="193"/>
      <c r="CB12" s="193"/>
      <c r="CC12" s="193"/>
      <c r="CD12" s="193"/>
      <c r="CE12" s="193"/>
      <c r="CF12" s="193"/>
      <c r="CG12" s="193"/>
      <c r="CH12" s="193"/>
      <c r="CI12" s="193"/>
      <c r="CJ12" s="193"/>
      <c r="CK12" s="193"/>
      <c r="CL12" s="193"/>
      <c r="CM12" s="193"/>
      <c r="CN12" s="193"/>
      <c r="CO12" s="193"/>
      <c r="CP12" s="193"/>
      <c r="CQ12" s="193"/>
      <c r="CR12" s="193"/>
      <c r="CS12" s="193"/>
      <c r="CT12" s="193"/>
      <c r="CU12" s="193"/>
      <c r="CV12" s="193"/>
      <c r="CW12" s="193"/>
      <c r="CX12" s="193"/>
      <c r="CY12" s="193"/>
      <c r="CZ12" s="193"/>
      <c r="DA12" s="193"/>
      <c r="DB12" s="193"/>
      <c r="DC12" s="193"/>
      <c r="DD12" s="193"/>
      <c r="DE12" s="193"/>
      <c r="DF12" s="193"/>
      <c r="DG12" s="193"/>
      <c r="DH12" s="193"/>
      <c r="DI12" s="193"/>
      <c r="DJ12" s="193"/>
      <c r="DK12" s="193"/>
      <c r="DL12" s="193"/>
      <c r="DM12" s="193"/>
      <c r="DN12" s="193"/>
      <c r="DO12" s="193"/>
      <c r="DP12" s="193"/>
      <c r="DQ12" s="193"/>
      <c r="DR12" s="193"/>
      <c r="DS12" s="193"/>
      <c r="DT12" s="193"/>
      <c r="DU12" s="193"/>
      <c r="DV12" s="193"/>
      <c r="DW12" s="193"/>
      <c r="DX12" s="193"/>
      <c r="DY12" s="193"/>
      <c r="DZ12" s="193"/>
      <c r="EA12" s="193"/>
      <c r="EB12" s="193"/>
      <c r="EC12" s="193"/>
      <c r="ED12" s="193"/>
      <c r="EE12" s="193"/>
      <c r="EF12" s="193"/>
      <c r="EG12" s="193"/>
      <c r="EH12" s="193"/>
      <c r="EI12" s="193"/>
      <c r="EJ12" s="193"/>
      <c r="EK12" s="193"/>
      <c r="EL12" s="193"/>
      <c r="EM12" s="193"/>
      <c r="EN12" s="193"/>
      <c r="EO12" s="193"/>
      <c r="EP12" s="193"/>
      <c r="EQ12" s="193"/>
      <c r="ER12" s="193"/>
      <c r="ES12" s="193"/>
      <c r="ET12" s="193"/>
      <c r="EU12" s="193"/>
      <c r="EV12" s="193"/>
      <c r="EW12" s="193"/>
      <c r="EX12" s="193"/>
      <c r="EY12" s="193"/>
      <c r="EZ12" s="193"/>
      <c r="FA12" s="193"/>
      <c r="FB12" s="193"/>
      <c r="FC12" s="193"/>
      <c r="FD12" s="193"/>
      <c r="FE12" s="193"/>
      <c r="FF12" s="193"/>
      <c r="FG12" s="193"/>
      <c r="FH12" s="193"/>
      <c r="FI12" s="193"/>
      <c r="FJ12" s="193"/>
      <c r="FK12" s="193"/>
      <c r="FL12" s="193"/>
      <c r="FM12" s="193"/>
      <c r="FN12" s="193"/>
      <c r="FO12" s="193"/>
      <c r="FP12" s="193"/>
      <c r="FQ12" s="193"/>
      <c r="FR12" s="193"/>
      <c r="FS12" s="193"/>
      <c r="FT12" s="193"/>
      <c r="FU12" s="193"/>
      <c r="FV12" s="193"/>
      <c r="FW12" s="193"/>
      <c r="FX12" s="193"/>
      <c r="FY12" s="193"/>
      <c r="FZ12" s="193"/>
      <c r="GA12" s="193"/>
      <c r="GB12" s="193"/>
      <c r="GC12" s="193"/>
      <c r="GD12" s="193"/>
      <c r="GE12" s="193"/>
      <c r="GF12" s="193"/>
      <c r="GG12" s="193"/>
      <c r="GH12" s="193"/>
      <c r="GI12" s="193"/>
      <c r="GJ12" s="193"/>
      <c r="GK12" s="193"/>
      <c r="GL12" s="193"/>
      <c r="GM12" s="193"/>
      <c r="GN12" s="193"/>
      <c r="GO12" s="193"/>
      <c r="GP12" s="193"/>
      <c r="GQ12" s="193"/>
      <c r="GR12" s="193"/>
      <c r="GS12" s="193"/>
      <c r="GT12" s="193"/>
      <c r="GU12" s="193"/>
      <c r="GV12" s="193"/>
      <c r="GW12" s="193"/>
      <c r="GX12" s="193"/>
      <c r="GY12" s="193"/>
      <c r="GZ12" s="193"/>
      <c r="HA12" s="193"/>
      <c r="HB12" s="193"/>
      <c r="HC12" s="193"/>
      <c r="HD12" s="193"/>
      <c r="HE12" s="193"/>
      <c r="HF12" s="193"/>
      <c r="HG12" s="193"/>
      <c r="HH12" s="193"/>
      <c r="HI12" s="193"/>
      <c r="HJ12" s="193"/>
      <c r="HK12" s="193"/>
      <c r="HL12" s="193"/>
      <c r="HM12" s="193"/>
      <c r="HN12" s="193"/>
      <c r="HO12" s="193"/>
      <c r="HP12" s="193"/>
      <c r="HQ12" s="193"/>
      <c r="HR12" s="193"/>
      <c r="HS12" s="193"/>
      <c r="HT12" s="193"/>
      <c r="HU12" s="193"/>
      <c r="HV12" s="193"/>
      <c r="HW12" s="193"/>
      <c r="HX12" s="193"/>
      <c r="HY12" s="193"/>
      <c r="HZ12" s="193"/>
      <c r="IA12" s="193"/>
      <c r="IB12" s="193"/>
      <c r="IC12" s="193"/>
      <c r="ID12" s="193"/>
      <c r="IE12" s="193"/>
      <c r="IF12" s="193"/>
      <c r="IG12" s="193"/>
      <c r="IH12" s="193"/>
      <c r="II12" s="193"/>
      <c r="IJ12" s="193"/>
      <c r="IK12" s="193"/>
      <c r="IL12" s="193"/>
      <c r="IM12" s="193"/>
      <c r="IN12" s="193"/>
      <c r="IO12" s="193"/>
      <c r="IP12" s="193"/>
      <c r="IQ12" s="193"/>
      <c r="IR12" s="193"/>
      <c r="IS12" s="193"/>
      <c r="IT12" s="193"/>
      <c r="IU12" s="193"/>
      <c r="IV12" s="193"/>
    </row>
    <row r="13" spans="1:256" s="224" customFormat="1" ht="16.5" customHeight="1" x14ac:dyDescent="0.2">
      <c r="A13" s="32" t="str">
        <f>'Common-size FS'!A12</f>
        <v>Cash and cash equivalents</v>
      </c>
      <c r="B13" s="381">
        <f>'Common-size FS'!B12</f>
        <v>1506</v>
      </c>
      <c r="C13" s="381">
        <f>'Common-size FS'!C12</f>
        <v>1877</v>
      </c>
      <c r="D13" s="381">
        <f>'Common-size FS'!D12</f>
        <v>1285</v>
      </c>
      <c r="E13" s="381">
        <f>'Common-size FS'!E12</f>
        <v>1194</v>
      </c>
      <c r="F13" s="381">
        <f>'Common-size FS'!F12</f>
        <v>827</v>
      </c>
      <c r="G13" s="381">
        <f>'Common-size FS'!G12</f>
        <v>595</v>
      </c>
      <c r="H13" s="718"/>
      <c r="I13" s="718"/>
      <c r="J13" s="718"/>
      <c r="K13" s="718"/>
      <c r="L13" s="718"/>
      <c r="M13" s="718"/>
      <c r="N13" s="718"/>
      <c r="O13" s="718"/>
      <c r="P13" s="718"/>
      <c r="Q13" s="718"/>
      <c r="R13" s="718"/>
      <c r="S13" s="718"/>
      <c r="T13" s="718"/>
      <c r="U13" s="718"/>
      <c r="V13" s="718"/>
      <c r="W13" s="718"/>
      <c r="X13" s="718"/>
      <c r="Y13" s="718"/>
      <c r="Z13" s="718"/>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6"/>
      <c r="EE13" s="96"/>
      <c r="EF13" s="96"/>
      <c r="EG13" s="96"/>
      <c r="EH13" s="96"/>
      <c r="EI13" s="96"/>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6"/>
      <c r="GB13" s="96"/>
      <c r="GC13" s="96"/>
      <c r="GD13" s="96"/>
      <c r="GE13" s="96"/>
      <c r="GF13" s="96"/>
      <c r="GG13" s="96"/>
      <c r="GH13" s="96"/>
      <c r="GI13" s="96"/>
      <c r="GJ13" s="96"/>
      <c r="GK13" s="96"/>
      <c r="GL13" s="96"/>
      <c r="GM13" s="96"/>
      <c r="GN13" s="96"/>
      <c r="GO13" s="96"/>
      <c r="GP13" s="96"/>
      <c r="GQ13" s="96"/>
      <c r="GR13" s="96"/>
      <c r="GS13" s="96"/>
      <c r="GT13" s="96"/>
      <c r="GU13" s="96"/>
      <c r="GV13" s="96"/>
      <c r="GW13" s="96"/>
      <c r="GX13" s="96"/>
      <c r="GY13" s="96"/>
      <c r="GZ13" s="96"/>
      <c r="HA13" s="96"/>
      <c r="HB13" s="96"/>
      <c r="HC13" s="96"/>
      <c r="HD13" s="96"/>
      <c r="HE13" s="96"/>
      <c r="HF13" s="96"/>
      <c r="HG13" s="96"/>
      <c r="HH13" s="96"/>
      <c r="HI13" s="96"/>
      <c r="HJ13" s="96"/>
      <c r="HK13" s="96"/>
      <c r="HL13" s="96"/>
      <c r="HM13" s="96"/>
      <c r="HN13" s="96"/>
      <c r="HO13" s="96"/>
      <c r="HP13" s="96"/>
      <c r="HQ13" s="96"/>
      <c r="HR13" s="96"/>
      <c r="HS13" s="96"/>
      <c r="HT13" s="96"/>
      <c r="HU13" s="96"/>
      <c r="HV13" s="96"/>
      <c r="HW13" s="96"/>
      <c r="HX13" s="96"/>
      <c r="HY13" s="96"/>
      <c r="HZ13" s="96"/>
      <c r="IA13" s="96"/>
      <c r="IB13" s="96"/>
      <c r="IC13" s="96"/>
      <c r="ID13" s="96"/>
      <c r="IE13" s="96"/>
      <c r="IF13" s="96"/>
      <c r="IG13" s="96"/>
      <c r="IH13" s="96"/>
      <c r="II13" s="96"/>
      <c r="IJ13" s="96"/>
      <c r="IK13" s="96"/>
      <c r="IL13" s="96"/>
      <c r="IM13" s="96"/>
      <c r="IN13" s="96"/>
      <c r="IO13" s="96"/>
      <c r="IP13" s="96"/>
      <c r="IQ13" s="96"/>
      <c r="IR13" s="96"/>
      <c r="IS13" s="96"/>
      <c r="IT13" s="96"/>
      <c r="IU13" s="96"/>
      <c r="IV13" s="96"/>
    </row>
    <row r="14" spans="1:256" s="68" customFormat="1" ht="16.5" customHeight="1" x14ac:dyDescent="0.2">
      <c r="A14" s="104" t="s">
        <v>562</v>
      </c>
      <c r="B14" s="32">
        <v>-0.1</v>
      </c>
      <c r="C14" s="32">
        <f>-C204</f>
        <v>-543</v>
      </c>
      <c r="D14" s="32">
        <f>-D204</f>
        <v>-510</v>
      </c>
      <c r="E14" s="32">
        <f>-E204</f>
        <v>-118</v>
      </c>
      <c r="F14" s="32">
        <f>-F204</f>
        <v>0</v>
      </c>
      <c r="G14" s="32">
        <f>-G204</f>
        <v>0</v>
      </c>
      <c r="H14" s="682"/>
      <c r="I14" s="682"/>
      <c r="J14" s="682"/>
      <c r="K14" s="682"/>
      <c r="L14" s="682"/>
      <c r="M14" s="682"/>
      <c r="N14" s="682"/>
      <c r="O14" s="682"/>
      <c r="P14" s="682"/>
      <c r="Q14" s="682"/>
      <c r="R14" s="682"/>
      <c r="S14" s="682"/>
      <c r="T14" s="682"/>
      <c r="U14" s="682"/>
      <c r="V14" s="682"/>
      <c r="W14" s="682"/>
      <c r="X14" s="682"/>
      <c r="Y14" s="682"/>
      <c r="Z14" s="682"/>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row>
    <row r="15" spans="1:256" s="224" customFormat="1" ht="16.5" customHeight="1" x14ac:dyDescent="0.2">
      <c r="A15" s="32" t="str">
        <f>'Common-size FS'!A16</f>
        <v>AR, net</v>
      </c>
      <c r="B15" s="32">
        <f>'Common-size FS'!B16</f>
        <v>2026</v>
      </c>
      <c r="C15" s="32">
        <f>'Common-size FS'!C16</f>
        <v>2033</v>
      </c>
      <c r="D15" s="32">
        <f>'Common-size FS'!D16</f>
        <v>2129</v>
      </c>
      <c r="E15" s="32">
        <f>'Common-size FS'!E16</f>
        <v>2177</v>
      </c>
      <c r="F15" s="32">
        <f>'Common-size FS'!F16</f>
        <v>2306</v>
      </c>
      <c r="G15" s="32">
        <f>'Common-size FS'!G16</f>
        <v>196</v>
      </c>
      <c r="H15" s="718"/>
      <c r="I15" s="718"/>
      <c r="J15" s="718"/>
      <c r="K15" s="718"/>
      <c r="L15" s="718"/>
      <c r="M15" s="718"/>
      <c r="N15" s="718"/>
      <c r="O15" s="718"/>
      <c r="P15" s="718"/>
      <c r="Q15" s="718"/>
      <c r="R15" s="718"/>
      <c r="S15" s="718"/>
      <c r="T15" s="718"/>
      <c r="U15" s="718"/>
      <c r="V15" s="718"/>
      <c r="W15" s="718"/>
      <c r="X15" s="718"/>
      <c r="Y15" s="718"/>
      <c r="Z15" s="718"/>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6"/>
      <c r="IG15" s="96"/>
      <c r="IH15" s="96"/>
      <c r="II15" s="96"/>
      <c r="IJ15" s="96"/>
      <c r="IK15" s="96"/>
      <c r="IL15" s="96"/>
      <c r="IM15" s="96"/>
      <c r="IN15" s="96"/>
      <c r="IO15" s="96"/>
      <c r="IP15" s="96"/>
      <c r="IQ15" s="96"/>
      <c r="IR15" s="96"/>
      <c r="IS15" s="96"/>
      <c r="IT15" s="96"/>
      <c r="IU15" s="96"/>
      <c r="IV15" s="96"/>
    </row>
    <row r="16" spans="1:256" s="224" customFormat="1" ht="16.5" customHeight="1" x14ac:dyDescent="0.2">
      <c r="A16" s="104" t="str">
        <f>'Common-size FS'!A17</f>
        <v xml:space="preserve"> Inventory (LOCOM, retail average cost)</v>
      </c>
      <c r="B16" s="32">
        <f>'Common-size FS'!B17</f>
        <v>977</v>
      </c>
      <c r="C16" s="32">
        <f>'Common-size FS'!C17</f>
        <v>1148</v>
      </c>
      <c r="D16" s="32">
        <f>'Common-size FS'!D17</f>
        <v>1360</v>
      </c>
      <c r="E16" s="32">
        <f>'Common-size FS'!E17</f>
        <v>1531</v>
      </c>
      <c r="F16" s="32">
        <f>'Common-size FS'!F17</f>
        <v>1733</v>
      </c>
      <c r="G16" s="32">
        <f>'Common-size FS'!G17</f>
        <v>1945</v>
      </c>
      <c r="H16" s="718"/>
      <c r="I16" s="718"/>
      <c r="J16" s="718"/>
      <c r="K16" s="718"/>
      <c r="L16" s="718"/>
      <c r="M16" s="718"/>
      <c r="N16" s="718"/>
      <c r="O16" s="718"/>
      <c r="P16" s="718"/>
      <c r="Q16" s="718"/>
      <c r="R16" s="718"/>
      <c r="S16" s="718"/>
      <c r="T16" s="718"/>
      <c r="U16" s="718"/>
      <c r="V16" s="718"/>
      <c r="W16" s="718"/>
      <c r="X16" s="718"/>
      <c r="Y16" s="718"/>
      <c r="Z16" s="718"/>
      <c r="AA16" s="96"/>
      <c r="AB16" s="96"/>
      <c r="AC16" s="96"/>
      <c r="AD16" s="96"/>
      <c r="AE16" s="96"/>
      <c r="AF16" s="96"/>
      <c r="AG16" s="96"/>
      <c r="AH16" s="96"/>
      <c r="AI16" s="96"/>
      <c r="AJ16" s="96"/>
      <c r="AK16" s="96"/>
      <c r="AL16" s="96"/>
      <c r="AM16" s="96"/>
      <c r="AN16" s="96"/>
      <c r="AO16" s="96"/>
      <c r="AP16" s="96"/>
      <c r="AQ16" s="96"/>
      <c r="AR16" s="96"/>
      <c r="AS16" s="96"/>
      <c r="AT16" s="96"/>
      <c r="AU16" s="96"/>
      <c r="AV16" s="96"/>
      <c r="AW16" s="96"/>
      <c r="AX16" s="96"/>
      <c r="AY16" s="96"/>
      <c r="AZ16" s="96"/>
      <c r="BA16" s="96"/>
      <c r="BB16" s="96"/>
      <c r="BC16" s="96"/>
      <c r="BD16" s="96"/>
      <c r="BE16" s="96"/>
      <c r="BF16" s="96"/>
      <c r="BG16" s="96"/>
      <c r="BH16" s="96"/>
      <c r="BI16" s="96"/>
      <c r="BJ16" s="96"/>
      <c r="BK16" s="96"/>
      <c r="BL16" s="96"/>
      <c r="BM16" s="96"/>
      <c r="BN16" s="96"/>
      <c r="BO16" s="96"/>
      <c r="BP16" s="96"/>
      <c r="BQ16" s="96"/>
      <c r="BR16" s="96"/>
      <c r="BS16" s="96"/>
      <c r="BT16" s="96"/>
      <c r="BU16" s="96"/>
      <c r="BV16" s="96"/>
      <c r="BW16" s="96"/>
      <c r="BX16" s="96"/>
      <c r="BY16" s="96"/>
      <c r="BZ16" s="96"/>
      <c r="CA16" s="96"/>
      <c r="CB16" s="96"/>
      <c r="CC16" s="96"/>
      <c r="CD16" s="96"/>
      <c r="CE16" s="96"/>
      <c r="CF16" s="96"/>
      <c r="CG16" s="96"/>
      <c r="CH16" s="96"/>
      <c r="CI16" s="96"/>
      <c r="CJ16" s="96"/>
      <c r="CK16" s="96"/>
      <c r="CL16" s="96"/>
      <c r="CM16" s="96"/>
      <c r="CN16" s="96"/>
      <c r="CO16" s="96"/>
      <c r="CP16" s="96"/>
      <c r="CQ16" s="96"/>
      <c r="CR16" s="96"/>
      <c r="CS16" s="96"/>
      <c r="CT16" s="96"/>
      <c r="CU16" s="96"/>
      <c r="CV16" s="96"/>
      <c r="CW16" s="96"/>
      <c r="CX16" s="96"/>
      <c r="CY16" s="96"/>
      <c r="CZ16" s="96"/>
      <c r="DA16" s="96"/>
      <c r="DB16" s="96"/>
      <c r="DC16" s="96"/>
      <c r="DD16" s="96"/>
      <c r="DE16" s="96"/>
      <c r="DF16" s="96"/>
      <c r="DG16" s="96"/>
      <c r="DH16" s="96"/>
      <c r="DI16" s="96"/>
      <c r="DJ16" s="96"/>
      <c r="DK16" s="96"/>
      <c r="DL16" s="96"/>
      <c r="DM16" s="96"/>
      <c r="DN16" s="96"/>
      <c r="DO16" s="96"/>
      <c r="DP16" s="96"/>
      <c r="DQ16" s="96"/>
      <c r="DR16" s="96"/>
      <c r="DS16" s="96"/>
      <c r="DT16" s="96"/>
      <c r="DU16" s="96"/>
      <c r="DV16" s="96"/>
      <c r="DW16" s="96"/>
      <c r="DX16" s="96"/>
      <c r="DY16" s="96"/>
      <c r="DZ16" s="96"/>
      <c r="EA16" s="96"/>
      <c r="EB16" s="96"/>
      <c r="EC16" s="96"/>
      <c r="ED16" s="96"/>
      <c r="EE16" s="96"/>
      <c r="EF16" s="96"/>
      <c r="EG16" s="96"/>
      <c r="EH16" s="96"/>
      <c r="EI16" s="96"/>
      <c r="EJ16" s="96"/>
      <c r="EK16" s="96"/>
      <c r="EL16" s="96"/>
      <c r="EM16" s="96"/>
      <c r="EN16" s="96"/>
      <c r="EO16" s="96"/>
      <c r="EP16" s="96"/>
      <c r="EQ16" s="96"/>
      <c r="ER16" s="96"/>
      <c r="ES16" s="96"/>
      <c r="ET16" s="96"/>
      <c r="EU16" s="96"/>
      <c r="EV16" s="96"/>
      <c r="EW16" s="96"/>
      <c r="EX16" s="96"/>
      <c r="EY16" s="96"/>
      <c r="EZ16" s="96"/>
      <c r="FA16" s="96"/>
      <c r="FB16" s="96"/>
      <c r="FC16" s="96"/>
      <c r="FD16" s="96"/>
      <c r="FE16" s="96"/>
      <c r="FF16" s="96"/>
      <c r="FG16" s="96"/>
      <c r="FH16" s="96"/>
      <c r="FI16" s="96"/>
      <c r="FJ16" s="96"/>
      <c r="FK16" s="96"/>
      <c r="FL16" s="96"/>
      <c r="FM16" s="96"/>
      <c r="FN16" s="96"/>
      <c r="FO16" s="96"/>
      <c r="FP16" s="96"/>
      <c r="FQ16" s="96"/>
      <c r="FR16" s="96"/>
      <c r="FS16" s="96"/>
      <c r="FT16" s="96"/>
      <c r="FU16" s="96"/>
      <c r="FV16" s="96"/>
      <c r="FW16" s="96"/>
      <c r="FX16" s="96"/>
      <c r="FY16" s="96"/>
      <c r="FZ16" s="96"/>
      <c r="GA16" s="96"/>
      <c r="GB16" s="96"/>
      <c r="GC16" s="96"/>
      <c r="GD16" s="96"/>
      <c r="GE16" s="96"/>
      <c r="GF16" s="96"/>
      <c r="GG16" s="96"/>
      <c r="GH16" s="96"/>
      <c r="GI16" s="96"/>
      <c r="GJ16" s="96"/>
      <c r="GK16" s="96"/>
      <c r="GL16" s="96"/>
      <c r="GM16" s="96"/>
      <c r="GN16" s="96"/>
      <c r="GO16" s="96"/>
      <c r="GP16" s="96"/>
      <c r="GQ16" s="96"/>
      <c r="GR16" s="96"/>
      <c r="GS16" s="96"/>
      <c r="GT16" s="96"/>
      <c r="GU16" s="96"/>
      <c r="GV16" s="96"/>
      <c r="GW16" s="96"/>
      <c r="GX16" s="96"/>
      <c r="GY16" s="96"/>
      <c r="GZ16" s="96"/>
      <c r="HA16" s="96"/>
      <c r="HB16" s="96"/>
      <c r="HC16" s="96"/>
      <c r="HD16" s="96"/>
      <c r="HE16" s="96"/>
      <c r="HF16" s="96"/>
      <c r="HG16" s="96"/>
      <c r="HH16" s="96"/>
      <c r="HI16" s="96"/>
      <c r="HJ16" s="96"/>
      <c r="HK16" s="96"/>
      <c r="HL16" s="96"/>
      <c r="HM16" s="96"/>
      <c r="HN16" s="96"/>
      <c r="HO16" s="96"/>
      <c r="HP16" s="96"/>
      <c r="HQ16" s="96"/>
      <c r="HR16" s="96"/>
      <c r="HS16" s="96"/>
      <c r="HT16" s="96"/>
      <c r="HU16" s="96"/>
      <c r="HV16" s="96"/>
      <c r="HW16" s="96"/>
      <c r="HX16" s="96"/>
      <c r="HY16" s="96"/>
      <c r="HZ16" s="96"/>
      <c r="IA16" s="96"/>
      <c r="IB16" s="96"/>
      <c r="IC16" s="96"/>
      <c r="ID16" s="96"/>
      <c r="IE16" s="96"/>
      <c r="IF16" s="96"/>
      <c r="IG16" s="96"/>
      <c r="IH16" s="96"/>
      <c r="II16" s="96"/>
      <c r="IJ16" s="96"/>
      <c r="IK16" s="96"/>
      <c r="IL16" s="96"/>
      <c r="IM16" s="96"/>
      <c r="IN16" s="96"/>
      <c r="IO16" s="96"/>
      <c r="IP16" s="96"/>
      <c r="IQ16" s="96"/>
      <c r="IR16" s="96"/>
      <c r="IS16" s="96"/>
      <c r="IT16" s="96"/>
      <c r="IU16" s="96"/>
      <c r="IV16" s="96"/>
    </row>
    <row r="17" spans="1:256" s="224" customFormat="1" ht="16.5" customHeight="1" x14ac:dyDescent="0.2">
      <c r="A17" s="32" t="str">
        <f>'Common-size FS'!A18</f>
        <v>DIT assets–current</v>
      </c>
      <c r="B17" s="32">
        <f>'Common-size FS'!B18</f>
        <v>236</v>
      </c>
      <c r="C17" s="32">
        <f>'Common-size FS'!C18</f>
        <v>220</v>
      </c>
      <c r="D17" s="32">
        <f>'Common-size FS'!D18</f>
        <v>227</v>
      </c>
      <c r="E17" s="32">
        <f>'Common-size FS'!E18</f>
        <v>239</v>
      </c>
      <c r="F17" s="32">
        <f>'Common-size FS'!F18</f>
        <v>256</v>
      </c>
      <c r="G17" s="32">
        <f>'Common-size FS'!G18</f>
        <v>0</v>
      </c>
      <c r="H17" s="718"/>
      <c r="I17" s="718"/>
      <c r="J17" s="718"/>
      <c r="K17" s="718"/>
      <c r="L17" s="718"/>
      <c r="M17" s="718"/>
      <c r="N17" s="718"/>
      <c r="O17" s="718"/>
      <c r="P17" s="718"/>
      <c r="Q17" s="718"/>
      <c r="R17" s="718"/>
      <c r="S17" s="718"/>
      <c r="T17" s="718"/>
      <c r="U17" s="718"/>
      <c r="V17" s="718"/>
      <c r="W17" s="718"/>
      <c r="X17" s="718"/>
      <c r="Y17" s="718"/>
      <c r="Z17" s="718"/>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6"/>
      <c r="BP17" s="96"/>
      <c r="BQ17" s="96"/>
      <c r="BR17" s="96"/>
      <c r="BS17" s="96"/>
      <c r="BT17" s="96"/>
      <c r="BU17" s="96"/>
      <c r="BV17" s="96"/>
      <c r="BW17" s="96"/>
      <c r="BX17" s="96"/>
      <c r="BY17" s="96"/>
      <c r="BZ17" s="96"/>
      <c r="CA17" s="96"/>
      <c r="CB17" s="96"/>
      <c r="CC17" s="96"/>
      <c r="CD17" s="96"/>
      <c r="CE17" s="96"/>
      <c r="CF17" s="96"/>
      <c r="CG17" s="96"/>
      <c r="CH17" s="96"/>
      <c r="CI17" s="96"/>
      <c r="CJ17" s="96"/>
      <c r="CK17" s="96"/>
      <c r="CL17" s="96"/>
      <c r="CM17" s="96"/>
      <c r="CN17" s="96"/>
      <c r="CO17" s="96"/>
      <c r="CP17" s="96"/>
      <c r="CQ17" s="96"/>
      <c r="CR17" s="96"/>
      <c r="CS17" s="96"/>
      <c r="CT17" s="96"/>
      <c r="CU17" s="96"/>
      <c r="CV17" s="96"/>
      <c r="CW17" s="96"/>
      <c r="CX17" s="96"/>
      <c r="CY17" s="96"/>
      <c r="CZ17" s="96"/>
      <c r="DA17" s="96"/>
      <c r="DB17" s="96"/>
      <c r="DC17" s="96"/>
      <c r="DD17" s="96"/>
      <c r="DE17" s="96"/>
      <c r="DF17" s="96"/>
      <c r="DG17" s="96"/>
      <c r="DH17" s="96"/>
      <c r="DI17" s="96"/>
      <c r="DJ17" s="96"/>
      <c r="DK17" s="96"/>
      <c r="DL17" s="96"/>
      <c r="DM17" s="96"/>
      <c r="DN17" s="96"/>
      <c r="DO17" s="96"/>
      <c r="DP17" s="96"/>
      <c r="DQ17" s="96"/>
      <c r="DR17" s="96"/>
      <c r="DS17" s="96"/>
      <c r="DT17" s="96"/>
      <c r="DU17" s="96"/>
      <c r="DV17" s="96"/>
      <c r="DW17" s="96"/>
      <c r="DX17" s="96"/>
      <c r="DY17" s="96"/>
      <c r="DZ17" s="96"/>
      <c r="EA17" s="96"/>
      <c r="EB17" s="96"/>
      <c r="EC17" s="96"/>
      <c r="ED17" s="96"/>
      <c r="EE17" s="96"/>
      <c r="EF17" s="96"/>
      <c r="EG17" s="96"/>
      <c r="EH17" s="96"/>
      <c r="EI17" s="96"/>
      <c r="EJ17" s="96"/>
      <c r="EK17" s="96"/>
      <c r="EL17" s="96"/>
      <c r="EM17" s="96"/>
      <c r="EN17" s="96"/>
      <c r="EO17" s="96"/>
      <c r="EP17" s="96"/>
      <c r="EQ17" s="96"/>
      <c r="ER17" s="96"/>
      <c r="ES17" s="96"/>
      <c r="ET17" s="96"/>
      <c r="EU17" s="96"/>
      <c r="EV17" s="96"/>
      <c r="EW17" s="96"/>
      <c r="EX17" s="96"/>
      <c r="EY17" s="96"/>
      <c r="EZ17" s="96"/>
      <c r="FA17" s="96"/>
      <c r="FB17" s="96"/>
      <c r="FC17" s="96"/>
      <c r="FD17" s="96"/>
      <c r="FE17" s="96"/>
      <c r="FF17" s="96"/>
      <c r="FG17" s="96"/>
      <c r="FH17" s="96"/>
      <c r="FI17" s="96"/>
      <c r="FJ17" s="96"/>
      <c r="FK17" s="96"/>
      <c r="FL17" s="96"/>
      <c r="FM17" s="96"/>
      <c r="FN17" s="96"/>
      <c r="FO17" s="96"/>
      <c r="FP17" s="96"/>
      <c r="FQ17" s="96"/>
      <c r="FR17" s="96"/>
      <c r="FS17" s="96"/>
      <c r="FT17" s="96"/>
      <c r="FU17" s="96"/>
      <c r="FV17" s="96"/>
      <c r="FW17" s="96"/>
      <c r="FX17" s="96"/>
      <c r="FY17" s="96"/>
      <c r="FZ17" s="96"/>
      <c r="GA17" s="96"/>
      <c r="GB17" s="96"/>
      <c r="GC17" s="96"/>
      <c r="GD17" s="96"/>
      <c r="GE17" s="96"/>
      <c r="GF17" s="96"/>
      <c r="GG17" s="96"/>
      <c r="GH17" s="96"/>
      <c r="GI17" s="96"/>
      <c r="GJ17" s="96"/>
      <c r="GK17" s="96"/>
      <c r="GL17" s="96"/>
      <c r="GM17" s="96"/>
      <c r="GN17" s="96"/>
      <c r="GO17" s="96"/>
      <c r="GP17" s="96"/>
      <c r="GQ17" s="96"/>
      <c r="GR17" s="96"/>
      <c r="GS17" s="96"/>
      <c r="GT17" s="96"/>
      <c r="GU17" s="96"/>
      <c r="GV17" s="96"/>
      <c r="GW17" s="96"/>
      <c r="GX17" s="96"/>
      <c r="GY17" s="96"/>
      <c r="GZ17" s="96"/>
      <c r="HA17" s="96"/>
      <c r="HB17" s="96"/>
      <c r="HC17" s="96"/>
      <c r="HD17" s="96"/>
      <c r="HE17" s="96"/>
      <c r="HF17" s="96"/>
      <c r="HG17" s="96"/>
      <c r="HH17" s="96"/>
      <c r="HI17" s="96"/>
      <c r="HJ17" s="96"/>
      <c r="HK17" s="96"/>
      <c r="HL17" s="96"/>
      <c r="HM17" s="96"/>
      <c r="HN17" s="96"/>
      <c r="HO17" s="96"/>
      <c r="HP17" s="96"/>
      <c r="HQ17" s="96"/>
      <c r="HR17" s="96"/>
      <c r="HS17" s="96"/>
      <c r="HT17" s="96"/>
      <c r="HU17" s="96"/>
      <c r="HV17" s="96"/>
      <c r="HW17" s="96"/>
      <c r="HX17" s="96"/>
      <c r="HY17" s="96"/>
      <c r="HZ17" s="96"/>
      <c r="IA17" s="96"/>
      <c r="IB17" s="96"/>
      <c r="IC17" s="96"/>
      <c r="ID17" s="96"/>
      <c r="IE17" s="96"/>
      <c r="IF17" s="96"/>
      <c r="IG17" s="96"/>
      <c r="IH17" s="96"/>
      <c r="II17" s="96"/>
      <c r="IJ17" s="96"/>
      <c r="IK17" s="96"/>
      <c r="IL17" s="96"/>
      <c r="IM17" s="96"/>
      <c r="IN17" s="96"/>
      <c r="IO17" s="96"/>
      <c r="IP17" s="96"/>
      <c r="IQ17" s="96"/>
      <c r="IR17" s="96"/>
      <c r="IS17" s="96"/>
      <c r="IT17" s="96"/>
      <c r="IU17" s="96"/>
      <c r="IV17" s="96"/>
    </row>
    <row r="18" spans="1:256" s="224" customFormat="1" ht="16.5" customHeight="1" x14ac:dyDescent="0.2">
      <c r="A18" s="32" t="str">
        <f>'Common-size FS'!A19</f>
        <v>Other current assets</v>
      </c>
      <c r="B18" s="32">
        <f>'Common-size FS'!B19</f>
        <v>79</v>
      </c>
      <c r="C18" s="32">
        <f>'Common-size FS'!C19</f>
        <v>1555</v>
      </c>
      <c r="D18" s="32">
        <f>'Common-size FS'!D19</f>
        <v>1509</v>
      </c>
      <c r="E18" s="32">
        <f>'Common-size FS'!E19</f>
        <v>1537</v>
      </c>
      <c r="F18" s="32">
        <f>'Common-size FS'!F19</f>
        <v>1911</v>
      </c>
      <c r="G18" s="32">
        <f>'Common-size FS'!G19</f>
        <v>1969</v>
      </c>
      <c r="H18" s="718"/>
      <c r="I18" s="718"/>
      <c r="J18" s="718"/>
      <c r="K18" s="718"/>
      <c r="L18" s="718"/>
      <c r="M18" s="718"/>
      <c r="N18" s="718"/>
      <c r="O18" s="718"/>
      <c r="P18" s="718"/>
      <c r="Q18" s="718"/>
      <c r="R18" s="718"/>
      <c r="S18" s="718"/>
      <c r="T18" s="718"/>
      <c r="U18" s="718"/>
      <c r="V18" s="718"/>
      <c r="W18" s="718"/>
      <c r="X18" s="718"/>
      <c r="Y18" s="718"/>
      <c r="Z18" s="718"/>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6"/>
      <c r="BP18" s="96"/>
      <c r="BQ18" s="96"/>
      <c r="BR18" s="96"/>
      <c r="BS18" s="96"/>
      <c r="BT18" s="96"/>
      <c r="BU18" s="96"/>
      <c r="BV18" s="96"/>
      <c r="BW18" s="96"/>
      <c r="BX18" s="96"/>
      <c r="BY18" s="96"/>
      <c r="BZ18" s="96"/>
      <c r="CA18" s="96"/>
      <c r="CB18" s="96"/>
      <c r="CC18" s="96"/>
      <c r="CD18" s="96"/>
      <c r="CE18" s="96"/>
      <c r="CF18" s="96"/>
      <c r="CG18" s="96"/>
      <c r="CH18" s="96"/>
      <c r="CI18" s="96"/>
      <c r="CJ18" s="96"/>
      <c r="CK18" s="96"/>
      <c r="CL18" s="96"/>
      <c r="CM18" s="96"/>
      <c r="CN18" s="96"/>
      <c r="CO18" s="96"/>
      <c r="CP18" s="96"/>
      <c r="CQ18" s="96"/>
      <c r="CR18" s="96"/>
      <c r="CS18" s="96"/>
      <c r="CT18" s="96"/>
      <c r="CU18" s="96"/>
      <c r="CV18" s="96"/>
      <c r="CW18" s="96"/>
      <c r="CX18" s="96"/>
      <c r="CY18" s="96"/>
      <c r="CZ18" s="96"/>
      <c r="DA18" s="96"/>
      <c r="DB18" s="96"/>
      <c r="DC18" s="96"/>
      <c r="DD18" s="96"/>
      <c r="DE18" s="96"/>
      <c r="DF18" s="96"/>
      <c r="DG18" s="96"/>
      <c r="DH18" s="96"/>
      <c r="DI18" s="96"/>
      <c r="DJ18" s="96"/>
      <c r="DK18" s="96"/>
      <c r="DL18" s="96"/>
      <c r="DM18" s="96"/>
      <c r="DN18" s="96"/>
      <c r="DO18" s="96"/>
      <c r="DP18" s="96"/>
      <c r="DQ18" s="96"/>
      <c r="DR18" s="96"/>
      <c r="DS18" s="96"/>
      <c r="DT18" s="96"/>
      <c r="DU18" s="96"/>
      <c r="DV18" s="96"/>
      <c r="DW18" s="96"/>
      <c r="DX18" s="96"/>
      <c r="DY18" s="96"/>
      <c r="DZ18" s="96"/>
      <c r="EA18" s="96"/>
      <c r="EB18" s="96"/>
      <c r="EC18" s="96"/>
      <c r="ED18" s="96"/>
      <c r="EE18" s="96"/>
      <c r="EF18" s="96"/>
      <c r="EG18" s="96"/>
      <c r="EH18" s="96"/>
      <c r="EI18" s="96"/>
      <c r="EJ18" s="96"/>
      <c r="EK18" s="96"/>
      <c r="EL18" s="96"/>
      <c r="EM18" s="96"/>
      <c r="EN18" s="96"/>
      <c r="EO18" s="96"/>
      <c r="EP18" s="96"/>
      <c r="EQ18" s="96"/>
      <c r="ER18" s="96"/>
      <c r="ES18" s="96"/>
      <c r="ET18" s="96"/>
      <c r="EU18" s="96"/>
      <c r="EV18" s="96"/>
      <c r="EW18" s="96"/>
      <c r="EX18" s="96"/>
      <c r="EY18" s="96"/>
      <c r="EZ18" s="96"/>
      <c r="FA18" s="96"/>
      <c r="FB18" s="96"/>
      <c r="FC18" s="96"/>
      <c r="FD18" s="96"/>
      <c r="FE18" s="96"/>
      <c r="FF18" s="96"/>
      <c r="FG18" s="96"/>
      <c r="FH18" s="96"/>
      <c r="FI18" s="96"/>
      <c r="FJ18" s="96"/>
      <c r="FK18" s="96"/>
      <c r="FL18" s="96"/>
      <c r="FM18" s="96"/>
      <c r="FN18" s="96"/>
      <c r="FO18" s="96"/>
      <c r="FP18" s="96"/>
      <c r="FQ18" s="96"/>
      <c r="FR18" s="96"/>
      <c r="FS18" s="96"/>
      <c r="FT18" s="96"/>
      <c r="FU18" s="96"/>
      <c r="FV18" s="96"/>
      <c r="FW18" s="96"/>
      <c r="FX18" s="96"/>
      <c r="FY18" s="96"/>
      <c r="FZ18" s="96"/>
      <c r="GA18" s="96"/>
      <c r="GB18" s="96"/>
      <c r="GC18" s="96"/>
      <c r="GD18" s="96"/>
      <c r="GE18" s="96"/>
      <c r="GF18" s="96"/>
      <c r="GG18" s="96"/>
      <c r="GH18" s="96"/>
      <c r="GI18" s="96"/>
      <c r="GJ18" s="96"/>
      <c r="GK18" s="96"/>
      <c r="GL18" s="96"/>
      <c r="GM18" s="96"/>
      <c r="GN18" s="96"/>
      <c r="GO18" s="96"/>
      <c r="GP18" s="96"/>
      <c r="GQ18" s="96"/>
      <c r="GR18" s="96"/>
      <c r="GS18" s="96"/>
      <c r="GT18" s="96"/>
      <c r="GU18" s="96"/>
      <c r="GV18" s="96"/>
      <c r="GW18" s="96"/>
      <c r="GX18" s="96"/>
      <c r="GY18" s="96"/>
      <c r="GZ18" s="96"/>
      <c r="HA18" s="96"/>
      <c r="HB18" s="96"/>
      <c r="HC18" s="96"/>
      <c r="HD18" s="96"/>
      <c r="HE18" s="96"/>
      <c r="HF18" s="96"/>
      <c r="HG18" s="96"/>
      <c r="HH18" s="96"/>
      <c r="HI18" s="96"/>
      <c r="HJ18" s="96"/>
      <c r="HK18" s="96"/>
      <c r="HL18" s="96"/>
      <c r="HM18" s="96"/>
      <c r="HN18" s="96"/>
      <c r="HO18" s="96"/>
      <c r="HP18" s="96"/>
      <c r="HQ18" s="96"/>
      <c r="HR18" s="96"/>
      <c r="HS18" s="96"/>
      <c r="HT18" s="96"/>
      <c r="HU18" s="96"/>
      <c r="HV18" s="96"/>
      <c r="HW18" s="96"/>
      <c r="HX18" s="96"/>
      <c r="HY18" s="96"/>
      <c r="HZ18" s="96"/>
      <c r="IA18" s="96"/>
      <c r="IB18" s="96"/>
      <c r="IC18" s="96"/>
      <c r="ID18" s="96"/>
      <c r="IE18" s="96"/>
      <c r="IF18" s="96"/>
      <c r="IG18" s="96"/>
      <c r="IH18" s="96"/>
      <c r="II18" s="96"/>
      <c r="IJ18" s="96"/>
      <c r="IK18" s="96"/>
      <c r="IL18" s="96"/>
      <c r="IM18" s="96"/>
      <c r="IN18" s="96"/>
      <c r="IO18" s="96"/>
      <c r="IP18" s="96"/>
      <c r="IQ18" s="96"/>
      <c r="IR18" s="96"/>
      <c r="IS18" s="96"/>
      <c r="IT18" s="96"/>
      <c r="IU18" s="96"/>
      <c r="IV18" s="96"/>
    </row>
    <row r="19" spans="1:256" s="224" customFormat="1" ht="16.5" customHeight="1" x14ac:dyDescent="0.2">
      <c r="A19" s="32" t="str">
        <f>'Common-size FS'!A24</f>
        <v>PP&amp;E, net</v>
      </c>
      <c r="B19" s="32">
        <f>'Common-size FS'!B24</f>
        <v>2318</v>
      </c>
      <c r="C19" s="32">
        <f>'Common-size FS'!C24</f>
        <v>3320</v>
      </c>
      <c r="D19" s="32">
        <f>'Common-size FS'!D24</f>
        <v>3849</v>
      </c>
      <c r="E19" s="32">
        <f>'Common-size FS'!E24</f>
        <v>4514</v>
      </c>
      <c r="F19" s="32">
        <f>'Common-size FS'!F24</f>
        <v>5166</v>
      </c>
      <c r="G19" s="32">
        <f>'Common-size FS'!G24</f>
        <v>5945</v>
      </c>
      <c r="H19" s="718"/>
      <c r="I19" s="718"/>
      <c r="J19" s="718"/>
      <c r="K19" s="718"/>
      <c r="L19" s="718"/>
      <c r="M19" s="718"/>
      <c r="N19" s="718"/>
      <c r="O19" s="718"/>
      <c r="P19" s="718"/>
      <c r="Q19" s="718"/>
      <c r="R19" s="718"/>
      <c r="S19" s="718"/>
      <c r="T19" s="718"/>
      <c r="U19" s="718"/>
      <c r="V19" s="718"/>
      <c r="W19" s="718"/>
      <c r="X19" s="718"/>
      <c r="Y19" s="718"/>
      <c r="Z19" s="718"/>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96"/>
      <c r="CA19" s="96"/>
      <c r="CB19" s="96"/>
      <c r="CC19" s="96"/>
      <c r="CD19" s="96"/>
      <c r="CE19" s="96"/>
      <c r="CF19" s="96"/>
      <c r="CG19" s="96"/>
      <c r="CH19" s="96"/>
      <c r="CI19" s="96"/>
      <c r="CJ19" s="96"/>
      <c r="CK19" s="96"/>
      <c r="CL19" s="96"/>
      <c r="CM19" s="96"/>
      <c r="CN19" s="96"/>
      <c r="CO19" s="96"/>
      <c r="CP19" s="96"/>
      <c r="CQ19" s="96"/>
      <c r="CR19" s="96"/>
      <c r="CS19" s="96"/>
      <c r="CT19" s="96"/>
      <c r="CU19" s="96"/>
      <c r="CV19" s="96"/>
      <c r="CW19" s="96"/>
      <c r="CX19" s="96"/>
      <c r="CY19" s="96"/>
      <c r="CZ19" s="96"/>
      <c r="DA19" s="96"/>
      <c r="DB19" s="96"/>
      <c r="DC19" s="96"/>
      <c r="DD19" s="96"/>
      <c r="DE19" s="96"/>
      <c r="DF19" s="96"/>
      <c r="DG19" s="96"/>
      <c r="DH19" s="96"/>
      <c r="DI19" s="96"/>
      <c r="DJ19" s="96"/>
      <c r="DK19" s="96"/>
      <c r="DL19" s="96"/>
      <c r="DM19" s="96"/>
      <c r="DN19" s="96"/>
      <c r="DO19" s="96"/>
      <c r="DP19" s="96"/>
      <c r="DQ19" s="96"/>
      <c r="DR19" s="96"/>
      <c r="DS19" s="96"/>
      <c r="DT19" s="96"/>
      <c r="DU19" s="96"/>
      <c r="DV19" s="96"/>
      <c r="DW19" s="96"/>
      <c r="DX19" s="96"/>
      <c r="DY19" s="96"/>
      <c r="DZ19" s="96"/>
      <c r="EA19" s="96"/>
      <c r="EB19" s="96"/>
      <c r="EC19" s="96"/>
      <c r="ED19" s="96"/>
      <c r="EE19" s="96"/>
      <c r="EF19" s="96"/>
      <c r="EG19" s="96"/>
      <c r="EH19" s="96"/>
      <c r="EI19" s="96"/>
      <c r="EJ19" s="96"/>
      <c r="EK19" s="96"/>
      <c r="EL19" s="96"/>
      <c r="EM19" s="96"/>
      <c r="EN19" s="96"/>
      <c r="EO19" s="96"/>
      <c r="EP19" s="96"/>
      <c r="EQ19" s="96"/>
      <c r="ER19" s="96"/>
      <c r="ES19" s="96"/>
      <c r="ET19" s="96"/>
      <c r="EU19" s="96"/>
      <c r="EV19" s="96"/>
      <c r="EW19" s="96"/>
      <c r="EX19" s="96"/>
      <c r="EY19" s="96"/>
      <c r="EZ19" s="96"/>
      <c r="FA19" s="96"/>
      <c r="FB19" s="96"/>
      <c r="FC19" s="96"/>
      <c r="FD19" s="96"/>
      <c r="FE19" s="96"/>
      <c r="FF19" s="96"/>
      <c r="FG19" s="96"/>
      <c r="FH19" s="96"/>
      <c r="FI19" s="96"/>
      <c r="FJ19" s="96"/>
      <c r="FK19" s="96"/>
      <c r="FL19" s="96"/>
      <c r="FM19" s="96"/>
      <c r="FN19" s="96"/>
      <c r="FO19" s="96"/>
      <c r="FP19" s="96"/>
      <c r="FQ19" s="96"/>
      <c r="FR19" s="96"/>
      <c r="FS19" s="96"/>
      <c r="FT19" s="96"/>
      <c r="FU19" s="96"/>
      <c r="FV19" s="96"/>
      <c r="FW19" s="96"/>
      <c r="FX19" s="96"/>
      <c r="FY19" s="96"/>
      <c r="FZ19" s="96"/>
      <c r="GA19" s="96"/>
      <c r="GB19" s="96"/>
      <c r="GC19" s="96"/>
      <c r="GD19" s="96"/>
      <c r="GE19" s="96"/>
      <c r="GF19" s="96"/>
      <c r="GG19" s="96"/>
      <c r="GH19" s="96"/>
      <c r="GI19" s="96"/>
      <c r="GJ19" s="96"/>
      <c r="GK19" s="96"/>
      <c r="GL19" s="96"/>
      <c r="GM19" s="96"/>
      <c r="GN19" s="96"/>
      <c r="GO19" s="96"/>
      <c r="GP19" s="96"/>
      <c r="GQ19" s="96"/>
      <c r="GR19" s="96"/>
      <c r="GS19" s="96"/>
      <c r="GT19" s="96"/>
      <c r="GU19" s="96"/>
      <c r="GV19" s="96"/>
      <c r="GW19" s="96"/>
      <c r="GX19" s="96"/>
      <c r="GY19" s="96"/>
      <c r="GZ19" s="96"/>
      <c r="HA19" s="96"/>
      <c r="HB19" s="96"/>
      <c r="HC19" s="96"/>
      <c r="HD19" s="96"/>
      <c r="HE19" s="96"/>
      <c r="HF19" s="96"/>
      <c r="HG19" s="96"/>
      <c r="HH19" s="96"/>
      <c r="HI19" s="96"/>
      <c r="HJ19" s="96"/>
      <c r="HK19" s="96"/>
      <c r="HL19" s="96"/>
      <c r="HM19" s="96"/>
      <c r="HN19" s="96"/>
      <c r="HO19" s="96"/>
      <c r="HP19" s="96"/>
      <c r="HQ19" s="96"/>
      <c r="HR19" s="96"/>
      <c r="HS19" s="96"/>
      <c r="HT19" s="96"/>
      <c r="HU19" s="96"/>
      <c r="HV19" s="96"/>
      <c r="HW19" s="96"/>
      <c r="HX19" s="96"/>
      <c r="HY19" s="96"/>
      <c r="HZ19" s="96"/>
      <c r="IA19" s="96"/>
      <c r="IB19" s="96"/>
      <c r="IC19" s="96"/>
      <c r="ID19" s="96"/>
      <c r="IE19" s="96"/>
      <c r="IF19" s="96"/>
      <c r="IG19" s="96"/>
      <c r="IH19" s="96"/>
      <c r="II19" s="96"/>
      <c r="IJ19" s="96"/>
      <c r="IK19" s="96"/>
      <c r="IL19" s="96"/>
      <c r="IM19" s="96"/>
      <c r="IN19" s="96"/>
      <c r="IO19" s="96"/>
      <c r="IP19" s="96"/>
      <c r="IQ19" s="96"/>
      <c r="IR19" s="96"/>
      <c r="IS19" s="96"/>
      <c r="IT19" s="96"/>
      <c r="IU19" s="96"/>
      <c r="IV19" s="96"/>
    </row>
    <row r="20" spans="1:256" s="224" customFormat="1" ht="16.5" customHeight="1" x14ac:dyDescent="0.2">
      <c r="A20" s="32" t="str">
        <f>'Common-size FS'!A25</f>
        <v>Goodwill, net impairment write-downs</v>
      </c>
      <c r="B20" s="32">
        <f>'Common-size FS'!B25</f>
        <v>53</v>
      </c>
      <c r="C20" s="32">
        <f>'Common-size FS'!C25</f>
        <v>175</v>
      </c>
      <c r="D20" s="32">
        <f>'Common-size FS'!D25</f>
        <v>175</v>
      </c>
      <c r="E20" s="32">
        <f>'Common-size FS'!E25</f>
        <v>175</v>
      </c>
      <c r="F20" s="32">
        <f>'Common-size FS'!F25</f>
        <v>435</v>
      </c>
      <c r="G20" s="32">
        <f>'Common-size FS'!G25</f>
        <v>435</v>
      </c>
      <c r="H20" s="718"/>
      <c r="I20" s="718"/>
      <c r="J20" s="718"/>
      <c r="K20" s="718"/>
      <c r="L20" s="718"/>
      <c r="M20" s="718"/>
      <c r="N20" s="718"/>
      <c r="O20" s="718"/>
      <c r="P20" s="718"/>
      <c r="Q20" s="718"/>
      <c r="R20" s="718"/>
      <c r="S20" s="718"/>
      <c r="T20" s="718"/>
      <c r="U20" s="718"/>
      <c r="V20" s="718"/>
      <c r="W20" s="718"/>
      <c r="X20" s="718"/>
      <c r="Y20" s="718"/>
      <c r="Z20" s="718"/>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c r="BS20" s="96"/>
      <c r="BT20" s="96"/>
      <c r="BU20" s="96"/>
      <c r="BV20" s="96"/>
      <c r="BW20" s="96"/>
      <c r="BX20" s="96"/>
      <c r="BY20" s="96"/>
      <c r="BZ20" s="96"/>
      <c r="CA20" s="96"/>
      <c r="CB20" s="96"/>
      <c r="CC20" s="96"/>
      <c r="CD20" s="96"/>
      <c r="CE20" s="96"/>
      <c r="CF20" s="96"/>
      <c r="CG20" s="96"/>
      <c r="CH20" s="96"/>
      <c r="CI20" s="96"/>
      <c r="CJ20" s="96"/>
      <c r="CK20" s="96"/>
      <c r="CL20" s="96"/>
      <c r="CM20" s="96"/>
      <c r="CN20" s="96"/>
      <c r="CO20" s="96"/>
      <c r="CP20" s="96"/>
      <c r="CQ20" s="96"/>
      <c r="CR20" s="96"/>
      <c r="CS20" s="96"/>
      <c r="CT20" s="96"/>
      <c r="CU20" s="96"/>
      <c r="CV20" s="96"/>
      <c r="CW20" s="96"/>
      <c r="CX20" s="96"/>
      <c r="CY20" s="96"/>
      <c r="CZ20" s="96"/>
      <c r="DA20" s="96"/>
      <c r="DB20" s="96"/>
      <c r="DC20" s="96"/>
      <c r="DD20" s="96"/>
      <c r="DE20" s="96"/>
      <c r="DF20" s="96"/>
      <c r="DG20" s="96"/>
      <c r="DH20" s="96"/>
      <c r="DI20" s="96"/>
      <c r="DJ20" s="96"/>
      <c r="DK20" s="96"/>
      <c r="DL20" s="96"/>
      <c r="DM20" s="96"/>
      <c r="DN20" s="96"/>
      <c r="DO20" s="96"/>
      <c r="DP20" s="96"/>
      <c r="DQ20" s="96"/>
      <c r="DR20" s="96"/>
      <c r="DS20" s="96"/>
      <c r="DT20" s="96"/>
      <c r="DU20" s="96"/>
      <c r="DV20" s="96"/>
      <c r="DW20" s="96"/>
      <c r="DX20" s="96"/>
      <c r="DY20" s="96"/>
      <c r="DZ20" s="96"/>
      <c r="EA20" s="96"/>
      <c r="EB20" s="96"/>
      <c r="EC20" s="96"/>
      <c r="ED20" s="96"/>
      <c r="EE20" s="96"/>
      <c r="EF20" s="96"/>
      <c r="EG20" s="96"/>
      <c r="EH20" s="96"/>
      <c r="EI20" s="96"/>
      <c r="EJ20" s="96"/>
      <c r="EK20" s="96"/>
      <c r="EL20" s="96"/>
      <c r="EM20" s="96"/>
      <c r="EN20" s="96"/>
      <c r="EO20" s="96"/>
      <c r="EP20" s="96"/>
      <c r="EQ20" s="96"/>
      <c r="ER20" s="96"/>
      <c r="ES20" s="96"/>
      <c r="ET20" s="96"/>
      <c r="EU20" s="96"/>
      <c r="EV20" s="96"/>
      <c r="EW20" s="96"/>
      <c r="EX20" s="96"/>
      <c r="EY20" s="96"/>
      <c r="EZ20" s="96"/>
      <c r="FA20" s="96"/>
      <c r="FB20" s="96"/>
      <c r="FC20" s="96"/>
      <c r="FD20" s="96"/>
      <c r="FE20" s="96"/>
      <c r="FF20" s="96"/>
      <c r="FG20" s="96"/>
      <c r="FH20" s="96"/>
      <c r="FI20" s="96"/>
      <c r="FJ20" s="96"/>
      <c r="FK20" s="96"/>
      <c r="FL20" s="96"/>
      <c r="FM20" s="96"/>
      <c r="FN20" s="96"/>
      <c r="FO20" s="96"/>
      <c r="FP20" s="96"/>
      <c r="FQ20" s="96"/>
      <c r="FR20" s="96"/>
      <c r="FS20" s="96"/>
      <c r="FT20" s="96"/>
      <c r="FU20" s="96"/>
      <c r="FV20" s="96"/>
      <c r="FW20" s="96"/>
      <c r="FX20" s="96"/>
      <c r="FY20" s="96"/>
      <c r="FZ20" s="96"/>
      <c r="GA20" s="96"/>
      <c r="GB20" s="96"/>
      <c r="GC20" s="96"/>
      <c r="GD20" s="96"/>
      <c r="GE20" s="96"/>
      <c r="GF20" s="96"/>
      <c r="GG20" s="96"/>
      <c r="GH20" s="96"/>
      <c r="GI20" s="96"/>
      <c r="GJ20" s="96"/>
      <c r="GK20" s="96"/>
      <c r="GL20" s="96"/>
      <c r="GM20" s="96"/>
      <c r="GN20" s="96"/>
      <c r="GO20" s="96"/>
      <c r="GP20" s="96"/>
      <c r="GQ20" s="96"/>
      <c r="GR20" s="96"/>
      <c r="GS20" s="96"/>
      <c r="GT20" s="96"/>
      <c r="GU20" s="96"/>
      <c r="GV20" s="96"/>
      <c r="GW20" s="96"/>
      <c r="GX20" s="96"/>
      <c r="GY20" s="96"/>
      <c r="GZ20" s="96"/>
      <c r="HA20" s="96"/>
      <c r="HB20" s="96"/>
      <c r="HC20" s="96"/>
      <c r="HD20" s="96"/>
      <c r="HE20" s="96"/>
      <c r="HF20" s="96"/>
      <c r="HG20" s="96"/>
      <c r="HH20" s="96"/>
      <c r="HI20" s="96"/>
      <c r="HJ20" s="96"/>
      <c r="HK20" s="96"/>
      <c r="HL20" s="96"/>
      <c r="HM20" s="96"/>
      <c r="HN20" s="96"/>
      <c r="HO20" s="96"/>
      <c r="HP20" s="96"/>
      <c r="HQ20" s="96"/>
      <c r="HR20" s="96"/>
      <c r="HS20" s="96"/>
      <c r="HT20" s="96"/>
      <c r="HU20" s="96"/>
      <c r="HV20" s="96"/>
      <c r="HW20" s="96"/>
      <c r="HX20" s="96"/>
      <c r="HY20" s="96"/>
      <c r="HZ20" s="96"/>
      <c r="IA20" s="96"/>
      <c r="IB20" s="96"/>
      <c r="IC20" s="96"/>
      <c r="ID20" s="96"/>
      <c r="IE20" s="96"/>
      <c r="IF20" s="96"/>
      <c r="IG20" s="96"/>
      <c r="IH20" s="96"/>
      <c r="II20" s="96"/>
      <c r="IJ20" s="96"/>
      <c r="IK20" s="96"/>
      <c r="IL20" s="96"/>
      <c r="IM20" s="96"/>
      <c r="IN20" s="96"/>
      <c r="IO20" s="96"/>
      <c r="IP20" s="96"/>
      <c r="IQ20" s="96"/>
      <c r="IR20" s="96"/>
      <c r="IS20" s="96"/>
      <c r="IT20" s="96"/>
      <c r="IU20" s="96"/>
      <c r="IV20" s="96"/>
    </row>
    <row r="21" spans="1:256" s="224" customFormat="1" ht="16.5" customHeight="1" x14ac:dyDescent="0.2">
      <c r="A21" s="32" t="str">
        <f>'Common-size FS'!A26</f>
        <v>Other intangibles, net amort., impairment</v>
      </c>
      <c r="B21" s="171">
        <f>'Common-size FS'!B26</f>
        <v>0</v>
      </c>
      <c r="C21" s="171">
        <f>'Common-size FS'!C26</f>
        <v>0</v>
      </c>
      <c r="D21" s="171">
        <f>'Common-size FS'!D26</f>
        <v>0</v>
      </c>
      <c r="E21" s="171">
        <f>'Common-size FS'!E26</f>
        <v>0</v>
      </c>
      <c r="F21" s="171">
        <f>'Common-size FS'!F26</f>
        <v>0</v>
      </c>
      <c r="G21" s="171">
        <f>'Common-size FS'!G26</f>
        <v>0</v>
      </c>
      <c r="H21" s="718"/>
      <c r="I21" s="718"/>
      <c r="J21" s="718"/>
      <c r="K21" s="718"/>
      <c r="L21" s="718"/>
      <c r="M21" s="718"/>
      <c r="N21" s="718"/>
      <c r="O21" s="718"/>
      <c r="P21" s="718"/>
      <c r="Q21" s="718"/>
      <c r="R21" s="718"/>
      <c r="S21" s="718"/>
      <c r="T21" s="718"/>
      <c r="U21" s="718"/>
      <c r="V21" s="718"/>
      <c r="W21" s="718"/>
      <c r="X21" s="718"/>
      <c r="Y21" s="718"/>
      <c r="Z21" s="718"/>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c r="BS21" s="96"/>
      <c r="BT21" s="96"/>
      <c r="BU21" s="96"/>
      <c r="BV21" s="96"/>
      <c r="BW21" s="96"/>
      <c r="BX21" s="96"/>
      <c r="BY21" s="96"/>
      <c r="BZ21" s="96"/>
      <c r="CA21" s="96"/>
      <c r="CB21" s="96"/>
      <c r="CC21" s="96"/>
      <c r="CD21" s="96"/>
      <c r="CE21" s="96"/>
      <c r="CF21" s="96"/>
      <c r="CG21" s="96"/>
      <c r="CH21" s="96"/>
      <c r="CI21" s="96"/>
      <c r="CJ21" s="96"/>
      <c r="CK21" s="96"/>
      <c r="CL21" s="96"/>
      <c r="CM21" s="96"/>
      <c r="CN21" s="96"/>
      <c r="CO21" s="96"/>
      <c r="CP21" s="96"/>
      <c r="CQ21" s="96"/>
      <c r="CR21" s="96"/>
      <c r="CS21" s="96"/>
      <c r="CT21" s="96"/>
      <c r="CU21" s="96"/>
      <c r="CV21" s="96"/>
      <c r="CW21" s="96"/>
      <c r="CX21" s="96"/>
      <c r="CY21" s="96"/>
      <c r="CZ21" s="96"/>
      <c r="DA21" s="96"/>
      <c r="DB21" s="96"/>
      <c r="DC21" s="96"/>
      <c r="DD21" s="96"/>
      <c r="DE21" s="96"/>
      <c r="DF21" s="96"/>
      <c r="DG21" s="96"/>
      <c r="DH21" s="96"/>
      <c r="DI21" s="96"/>
      <c r="DJ21" s="96"/>
      <c r="DK21" s="96"/>
      <c r="DL21" s="96"/>
      <c r="DM21" s="96"/>
      <c r="DN21" s="96"/>
      <c r="DO21" s="96"/>
      <c r="DP21" s="96"/>
      <c r="DQ21" s="96"/>
      <c r="DR21" s="96"/>
      <c r="DS21" s="96"/>
      <c r="DT21" s="96"/>
      <c r="DU21" s="96"/>
      <c r="DV21" s="96"/>
      <c r="DW21" s="96"/>
      <c r="DX21" s="96"/>
      <c r="DY21" s="96"/>
      <c r="DZ21" s="96"/>
      <c r="EA21" s="96"/>
      <c r="EB21" s="96"/>
      <c r="EC21" s="96"/>
      <c r="ED21" s="96"/>
      <c r="EE21" s="96"/>
      <c r="EF21" s="96"/>
      <c r="EG21" s="96"/>
      <c r="EH21" s="96"/>
      <c r="EI21" s="96"/>
      <c r="EJ21" s="96"/>
      <c r="EK21" s="96"/>
      <c r="EL21" s="96"/>
      <c r="EM21" s="96"/>
      <c r="EN21" s="96"/>
      <c r="EO21" s="96"/>
      <c r="EP21" s="96"/>
      <c r="EQ21" s="96"/>
      <c r="ER21" s="96"/>
      <c r="ES21" s="96"/>
      <c r="ET21" s="96"/>
      <c r="EU21" s="96"/>
      <c r="EV21" s="96"/>
      <c r="EW21" s="96"/>
      <c r="EX21" s="96"/>
      <c r="EY21" s="96"/>
      <c r="EZ21" s="96"/>
      <c r="FA21" s="96"/>
      <c r="FB21" s="96"/>
      <c r="FC21" s="96"/>
      <c r="FD21" s="96"/>
      <c r="FE21" s="96"/>
      <c r="FF21" s="96"/>
      <c r="FG21" s="96"/>
      <c r="FH21" s="96"/>
      <c r="FI21" s="96"/>
      <c r="FJ21" s="96"/>
      <c r="FK21" s="96"/>
      <c r="FL21" s="96"/>
      <c r="FM21" s="96"/>
      <c r="FN21" s="96"/>
      <c r="FO21" s="96"/>
      <c r="FP21" s="96"/>
      <c r="FQ21" s="96"/>
      <c r="FR21" s="96"/>
      <c r="FS21" s="96"/>
      <c r="FT21" s="96"/>
      <c r="FU21" s="96"/>
      <c r="FV21" s="96"/>
      <c r="FW21" s="96"/>
      <c r="FX21" s="96"/>
      <c r="FY21" s="96"/>
      <c r="FZ21" s="96"/>
      <c r="GA21" s="96"/>
      <c r="GB21" s="96"/>
      <c r="GC21" s="96"/>
      <c r="GD21" s="96"/>
      <c r="GE21" s="96"/>
      <c r="GF21" s="96"/>
      <c r="GG21" s="96"/>
      <c r="GH21" s="96"/>
      <c r="GI21" s="96"/>
      <c r="GJ21" s="96"/>
      <c r="GK21" s="96"/>
      <c r="GL21" s="96"/>
      <c r="GM21" s="96"/>
      <c r="GN21" s="96"/>
      <c r="GO21" s="96"/>
      <c r="GP21" s="96"/>
      <c r="GQ21" s="96"/>
      <c r="GR21" s="96"/>
      <c r="GS21" s="96"/>
      <c r="GT21" s="96"/>
      <c r="GU21" s="96"/>
      <c r="GV21" s="96"/>
      <c r="GW21" s="96"/>
      <c r="GX21" s="96"/>
      <c r="GY21" s="96"/>
      <c r="GZ21" s="96"/>
      <c r="HA21" s="96"/>
      <c r="HB21" s="96"/>
      <c r="HC21" s="96"/>
      <c r="HD21" s="96"/>
      <c r="HE21" s="96"/>
      <c r="HF21" s="96"/>
      <c r="HG21" s="96"/>
      <c r="HH21" s="96"/>
      <c r="HI21" s="96"/>
      <c r="HJ21" s="96"/>
      <c r="HK21" s="96"/>
      <c r="HL21" s="96"/>
      <c r="HM21" s="96"/>
      <c r="HN21" s="96"/>
      <c r="HO21" s="96"/>
      <c r="HP21" s="96"/>
      <c r="HQ21" s="96"/>
      <c r="HR21" s="96"/>
      <c r="HS21" s="96"/>
      <c r="HT21" s="96"/>
      <c r="HU21" s="96"/>
      <c r="HV21" s="96"/>
      <c r="HW21" s="96"/>
      <c r="HX21" s="96"/>
      <c r="HY21" s="96"/>
      <c r="HZ21" s="96"/>
      <c r="IA21" s="96"/>
      <c r="IB21" s="96"/>
      <c r="IC21" s="96"/>
      <c r="ID21" s="96"/>
      <c r="IE21" s="96"/>
      <c r="IF21" s="96"/>
      <c r="IG21" s="96"/>
      <c r="IH21" s="96"/>
      <c r="II21" s="96"/>
      <c r="IJ21" s="96"/>
      <c r="IK21" s="96"/>
      <c r="IL21" s="96"/>
      <c r="IM21" s="96"/>
      <c r="IN21" s="96"/>
      <c r="IO21" s="96"/>
      <c r="IP21" s="96"/>
      <c r="IQ21" s="96"/>
      <c r="IR21" s="96"/>
      <c r="IS21" s="96"/>
      <c r="IT21" s="96"/>
      <c r="IU21" s="96"/>
      <c r="IV21" s="96"/>
    </row>
    <row r="22" spans="1:256" s="532" customFormat="1" ht="16.5" customHeight="1" x14ac:dyDescent="0.2">
      <c r="A22" s="75" t="str">
        <f>'Common-size FS'!A27</f>
        <v>DIT assets–noncurrent</v>
      </c>
      <c r="B22" s="172">
        <f>'Common-size FS'!B27</f>
        <v>0</v>
      </c>
      <c r="C22" s="172">
        <f>'Common-size FS'!C27</f>
        <v>0</v>
      </c>
      <c r="D22" s="172">
        <f>'Common-size FS'!D27</f>
        <v>0</v>
      </c>
      <c r="E22" s="172">
        <f>'Common-size FS'!E27</f>
        <v>0</v>
      </c>
      <c r="F22" s="172">
        <f>'Common-size FS'!F27</f>
        <v>0</v>
      </c>
      <c r="G22" s="172">
        <f>'Common-size FS'!G27</f>
        <v>0</v>
      </c>
      <c r="H22" s="725"/>
      <c r="I22" s="725"/>
      <c r="J22" s="725"/>
      <c r="K22" s="725"/>
      <c r="L22" s="725"/>
      <c r="M22" s="725"/>
      <c r="N22" s="725"/>
      <c r="O22" s="725"/>
      <c r="P22" s="725"/>
      <c r="Q22" s="725"/>
      <c r="R22" s="725"/>
      <c r="S22" s="725"/>
      <c r="T22" s="725"/>
      <c r="U22" s="725"/>
      <c r="V22" s="725"/>
      <c r="W22" s="725"/>
      <c r="X22" s="725"/>
      <c r="Y22" s="725"/>
      <c r="Z22" s="725"/>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149"/>
      <c r="BQ22" s="149"/>
      <c r="BR22" s="149"/>
      <c r="BS22" s="149"/>
      <c r="BT22" s="149"/>
      <c r="BU22" s="149"/>
      <c r="BV22" s="149"/>
      <c r="BW22" s="149"/>
      <c r="BX22" s="149"/>
      <c r="BY22" s="149"/>
      <c r="BZ22" s="149"/>
      <c r="CA22" s="149"/>
      <c r="CB22" s="149"/>
      <c r="CC22" s="149"/>
      <c r="CD22" s="149"/>
      <c r="CE22" s="149"/>
      <c r="CF22" s="149"/>
      <c r="CG22" s="149"/>
      <c r="CH22" s="149"/>
      <c r="CI22" s="149"/>
      <c r="CJ22" s="149"/>
      <c r="CK22" s="149"/>
      <c r="CL22" s="149"/>
      <c r="CM22" s="149"/>
      <c r="CN22" s="149"/>
      <c r="CO22" s="149"/>
      <c r="CP22" s="149"/>
      <c r="CQ22" s="149"/>
      <c r="CR22" s="149"/>
      <c r="CS22" s="149"/>
      <c r="CT22" s="149"/>
      <c r="CU22" s="149"/>
      <c r="CV22" s="149"/>
      <c r="CW22" s="149"/>
      <c r="CX22" s="149"/>
      <c r="CY22" s="149"/>
      <c r="CZ22" s="149"/>
      <c r="DA22" s="149"/>
      <c r="DB22" s="149"/>
      <c r="DC22" s="149"/>
      <c r="DD22" s="149"/>
      <c r="DE22" s="149"/>
      <c r="DF22" s="149"/>
      <c r="DG22" s="149"/>
      <c r="DH22" s="149"/>
      <c r="DI22" s="149"/>
      <c r="DJ22" s="149"/>
      <c r="DK22" s="149"/>
      <c r="DL22" s="149"/>
      <c r="DM22" s="149"/>
      <c r="DN22" s="149"/>
      <c r="DO22" s="149"/>
      <c r="DP22" s="149"/>
      <c r="DQ22" s="149"/>
      <c r="DR22" s="149"/>
      <c r="DS22" s="149"/>
      <c r="DT22" s="149"/>
      <c r="DU22" s="149"/>
      <c r="DV22" s="149"/>
      <c r="DW22" s="149"/>
      <c r="DX22" s="149"/>
      <c r="DY22" s="149"/>
      <c r="DZ22" s="149"/>
      <c r="EA22" s="149"/>
      <c r="EB22" s="149"/>
      <c r="EC22" s="149"/>
      <c r="ED22" s="149"/>
      <c r="EE22" s="149"/>
      <c r="EF22" s="149"/>
      <c r="EG22" s="149"/>
      <c r="EH22" s="149"/>
      <c r="EI22" s="149"/>
      <c r="EJ22" s="149"/>
      <c r="EK22" s="149"/>
      <c r="EL22" s="149"/>
      <c r="EM22" s="149"/>
      <c r="EN22" s="149"/>
      <c r="EO22" s="149"/>
      <c r="EP22" s="149"/>
      <c r="EQ22" s="149"/>
      <c r="ER22" s="149"/>
      <c r="ES22" s="149"/>
      <c r="ET22" s="149"/>
      <c r="EU22" s="149"/>
      <c r="EV22" s="149"/>
      <c r="EW22" s="149"/>
      <c r="EX22" s="149"/>
      <c r="EY22" s="149"/>
      <c r="EZ22" s="149"/>
      <c r="FA22" s="149"/>
      <c r="FB22" s="149"/>
      <c r="FC22" s="149"/>
      <c r="FD22" s="149"/>
      <c r="FE22" s="149"/>
      <c r="FF22" s="149"/>
      <c r="FG22" s="149"/>
      <c r="FH22" s="149"/>
      <c r="FI22" s="149"/>
      <c r="FJ22" s="149"/>
      <c r="FK22" s="149"/>
      <c r="FL22" s="149"/>
      <c r="FM22" s="149"/>
      <c r="FN22" s="149"/>
      <c r="FO22" s="149"/>
      <c r="FP22" s="149"/>
      <c r="FQ22" s="149"/>
      <c r="FR22" s="149"/>
      <c r="FS22" s="149"/>
      <c r="FT22" s="149"/>
      <c r="FU22" s="149"/>
      <c r="FV22" s="149"/>
      <c r="FW22" s="149"/>
      <c r="FX22" s="149"/>
      <c r="FY22" s="149"/>
      <c r="FZ22" s="149"/>
      <c r="GA22" s="149"/>
      <c r="GB22" s="149"/>
      <c r="GC22" s="149"/>
      <c r="GD22" s="149"/>
      <c r="GE22" s="149"/>
      <c r="GF22" s="149"/>
      <c r="GG22" s="149"/>
      <c r="GH22" s="149"/>
      <c r="GI22" s="149"/>
      <c r="GJ22" s="149"/>
      <c r="GK22" s="149"/>
      <c r="GL22" s="149"/>
      <c r="GM22" s="149"/>
      <c r="GN22" s="149"/>
      <c r="GO22" s="149"/>
      <c r="GP22" s="149"/>
      <c r="GQ22" s="149"/>
      <c r="GR22" s="149"/>
      <c r="GS22" s="149"/>
      <c r="GT22" s="149"/>
      <c r="GU22" s="149"/>
      <c r="GV22" s="149"/>
      <c r="GW22" s="149"/>
      <c r="GX22" s="149"/>
      <c r="GY22" s="149"/>
      <c r="GZ22" s="149"/>
      <c r="HA22" s="149"/>
      <c r="HB22" s="149"/>
      <c r="HC22" s="149"/>
      <c r="HD22" s="149"/>
      <c r="HE22" s="149"/>
      <c r="HF22" s="149"/>
      <c r="HG22" s="149"/>
      <c r="HH22" s="149"/>
      <c r="HI22" s="149"/>
      <c r="HJ22" s="149"/>
      <c r="HK22" s="149"/>
      <c r="HL22" s="149"/>
      <c r="HM22" s="149"/>
      <c r="HN22" s="149"/>
      <c r="HO22" s="149"/>
      <c r="HP22" s="149"/>
      <c r="HQ22" s="149"/>
      <c r="HR22" s="149"/>
      <c r="HS22" s="149"/>
      <c r="HT22" s="149"/>
      <c r="HU22" s="149"/>
      <c r="HV22" s="149"/>
      <c r="HW22" s="149"/>
      <c r="HX22" s="149"/>
      <c r="HY22" s="149"/>
      <c r="HZ22" s="149"/>
      <c r="IA22" s="149"/>
      <c r="IB22" s="149"/>
      <c r="IC22" s="149"/>
      <c r="ID22" s="149"/>
      <c r="IE22" s="149"/>
      <c r="IF22" s="149"/>
      <c r="IG22" s="149"/>
      <c r="IH22" s="149"/>
      <c r="II22" s="149"/>
      <c r="IJ22" s="149"/>
      <c r="IK22" s="149"/>
      <c r="IL22" s="149"/>
      <c r="IM22" s="149"/>
      <c r="IN22" s="149"/>
      <c r="IO22" s="149"/>
      <c r="IP22" s="149"/>
      <c r="IQ22" s="149"/>
      <c r="IR22" s="149"/>
      <c r="IS22" s="149"/>
      <c r="IT22" s="149"/>
      <c r="IU22" s="149"/>
      <c r="IV22" s="149"/>
    </row>
    <row r="23" spans="1:256" s="533" customFormat="1" ht="16.5" customHeight="1" x14ac:dyDescent="0.2">
      <c r="A23" s="71" t="str">
        <f>'Common-size FS'!A28</f>
        <v>Other noncurrent assets</v>
      </c>
      <c r="B23" s="71">
        <f>'Common-size FS'!B28</f>
        <v>267</v>
      </c>
      <c r="C23" s="71">
        <f>'Common-size FS'!C28</f>
        <v>457</v>
      </c>
      <c r="D23" s="71">
        <f>'Common-size FS'!D28</f>
        <v>726</v>
      </c>
      <c r="E23" s="71">
        <f>'Common-size FS'!E28</f>
        <v>897</v>
      </c>
      <c r="F23" s="71">
        <f>'Common-size FS'!F28</f>
        <v>529</v>
      </c>
      <c r="G23" s="71">
        <f>'Common-size FS'!G28</f>
        <v>833</v>
      </c>
      <c r="H23" s="724"/>
      <c r="I23" s="724"/>
      <c r="J23" s="724"/>
      <c r="K23" s="724"/>
      <c r="L23" s="724"/>
      <c r="M23" s="724"/>
      <c r="N23" s="724"/>
      <c r="O23" s="724"/>
      <c r="P23" s="724"/>
      <c r="Q23" s="724"/>
      <c r="R23" s="724"/>
      <c r="S23" s="724"/>
      <c r="T23" s="724"/>
      <c r="U23" s="724"/>
      <c r="V23" s="724"/>
      <c r="W23" s="724"/>
      <c r="X23" s="724"/>
      <c r="Y23" s="724"/>
      <c r="Z23" s="724"/>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c r="BP23" s="227"/>
      <c r="BQ23" s="227"/>
      <c r="BR23" s="227"/>
      <c r="BS23" s="227"/>
      <c r="BT23" s="227"/>
      <c r="BU23" s="227"/>
      <c r="BV23" s="227"/>
      <c r="BW23" s="227"/>
      <c r="BX23" s="227"/>
      <c r="BY23" s="227"/>
      <c r="BZ23" s="227"/>
      <c r="CA23" s="227"/>
      <c r="CB23" s="227"/>
      <c r="CC23" s="227"/>
      <c r="CD23" s="227"/>
      <c r="CE23" s="227"/>
      <c r="CF23" s="227"/>
      <c r="CG23" s="227"/>
      <c r="CH23" s="227"/>
      <c r="CI23" s="227"/>
      <c r="CJ23" s="227"/>
      <c r="CK23" s="227"/>
      <c r="CL23" s="227"/>
      <c r="CM23" s="227"/>
      <c r="CN23" s="227"/>
      <c r="CO23" s="227"/>
      <c r="CP23" s="227"/>
      <c r="CQ23" s="227"/>
      <c r="CR23" s="227"/>
      <c r="CS23" s="227"/>
      <c r="CT23" s="227"/>
      <c r="CU23" s="227"/>
      <c r="CV23" s="227"/>
      <c r="CW23" s="227"/>
      <c r="CX23" s="227"/>
      <c r="CY23" s="227"/>
      <c r="CZ23" s="227"/>
      <c r="DA23" s="227"/>
      <c r="DB23" s="227"/>
      <c r="DC23" s="227"/>
      <c r="DD23" s="227"/>
      <c r="DE23" s="227"/>
      <c r="DF23" s="227"/>
      <c r="DG23" s="227"/>
      <c r="DH23" s="227"/>
      <c r="DI23" s="227"/>
      <c r="DJ23" s="227"/>
      <c r="DK23" s="227"/>
      <c r="DL23" s="227"/>
      <c r="DM23" s="227"/>
      <c r="DN23" s="227"/>
      <c r="DO23" s="227"/>
      <c r="DP23" s="227"/>
      <c r="DQ23" s="227"/>
      <c r="DR23" s="227"/>
      <c r="DS23" s="227"/>
      <c r="DT23" s="227"/>
      <c r="DU23" s="227"/>
      <c r="DV23" s="227"/>
      <c r="DW23" s="227"/>
      <c r="DX23" s="227"/>
      <c r="DY23" s="227"/>
      <c r="DZ23" s="227"/>
      <c r="EA23" s="227"/>
      <c r="EB23" s="227"/>
      <c r="EC23" s="227"/>
      <c r="ED23" s="227"/>
      <c r="EE23" s="227"/>
      <c r="EF23" s="227"/>
      <c r="EG23" s="227"/>
      <c r="EH23" s="227"/>
      <c r="EI23" s="227"/>
      <c r="EJ23" s="227"/>
      <c r="EK23" s="227"/>
      <c r="EL23" s="227"/>
      <c r="EM23" s="227"/>
      <c r="EN23" s="227"/>
      <c r="EO23" s="227"/>
      <c r="EP23" s="227"/>
      <c r="EQ23" s="227"/>
      <c r="ER23" s="227"/>
      <c r="ES23" s="227"/>
      <c r="ET23" s="227"/>
      <c r="EU23" s="227"/>
      <c r="EV23" s="227"/>
      <c r="EW23" s="227"/>
      <c r="EX23" s="227"/>
      <c r="EY23" s="227"/>
      <c r="EZ23" s="227"/>
      <c r="FA23" s="227"/>
      <c r="FB23" s="227"/>
      <c r="FC23" s="227"/>
      <c r="FD23" s="227"/>
      <c r="FE23" s="227"/>
      <c r="FF23" s="227"/>
      <c r="FG23" s="227"/>
      <c r="FH23" s="227"/>
      <c r="FI23" s="227"/>
      <c r="FJ23" s="227"/>
      <c r="FK23" s="227"/>
      <c r="FL23" s="227"/>
      <c r="FM23" s="227"/>
      <c r="FN23" s="227"/>
      <c r="FO23" s="227"/>
      <c r="FP23" s="227"/>
      <c r="FQ23" s="227"/>
      <c r="FR23" s="227"/>
      <c r="FS23" s="227"/>
      <c r="FT23" s="227"/>
      <c r="FU23" s="227"/>
      <c r="FV23" s="227"/>
      <c r="FW23" s="227"/>
      <c r="FX23" s="227"/>
      <c r="FY23" s="227"/>
      <c r="FZ23" s="227"/>
      <c r="GA23" s="227"/>
      <c r="GB23" s="227"/>
      <c r="GC23" s="227"/>
      <c r="GD23" s="227"/>
      <c r="GE23" s="227"/>
      <c r="GF23" s="227"/>
      <c r="GG23" s="227"/>
      <c r="GH23" s="227"/>
      <c r="GI23" s="227"/>
      <c r="GJ23" s="227"/>
      <c r="GK23" s="227"/>
      <c r="GL23" s="227"/>
      <c r="GM23" s="227"/>
      <c r="GN23" s="227"/>
      <c r="GO23" s="227"/>
      <c r="GP23" s="227"/>
      <c r="GQ23" s="227"/>
      <c r="GR23" s="227"/>
      <c r="GS23" s="227"/>
      <c r="GT23" s="227"/>
      <c r="GU23" s="227"/>
      <c r="GV23" s="227"/>
      <c r="GW23" s="227"/>
      <c r="GX23" s="227"/>
      <c r="GY23" s="227"/>
      <c r="GZ23" s="227"/>
      <c r="HA23" s="227"/>
      <c r="HB23" s="227"/>
      <c r="HC23" s="227"/>
      <c r="HD23" s="227"/>
      <c r="HE23" s="227"/>
      <c r="HF23" s="227"/>
      <c r="HG23" s="227"/>
      <c r="HH23" s="227"/>
      <c r="HI23" s="227"/>
      <c r="HJ23" s="227"/>
      <c r="HK23" s="227"/>
      <c r="HL23" s="227"/>
      <c r="HM23" s="227"/>
      <c r="HN23" s="227"/>
      <c r="HO23" s="227"/>
      <c r="HP23" s="227"/>
      <c r="HQ23" s="227"/>
      <c r="HR23" s="227"/>
      <c r="HS23" s="227"/>
      <c r="HT23" s="227"/>
      <c r="HU23" s="227"/>
      <c r="HV23" s="227"/>
      <c r="HW23" s="227"/>
      <c r="HX23" s="227"/>
      <c r="HY23" s="227"/>
      <c r="HZ23" s="227"/>
      <c r="IA23" s="227"/>
      <c r="IB23" s="227"/>
      <c r="IC23" s="227"/>
      <c r="ID23" s="227"/>
      <c r="IE23" s="227"/>
      <c r="IF23" s="227"/>
      <c r="IG23" s="227"/>
      <c r="IH23" s="227"/>
      <c r="II23" s="227"/>
      <c r="IJ23" s="227"/>
      <c r="IK23" s="227"/>
      <c r="IL23" s="227"/>
      <c r="IM23" s="227"/>
      <c r="IN23" s="227"/>
      <c r="IO23" s="227"/>
      <c r="IP23" s="227"/>
      <c r="IQ23" s="227"/>
      <c r="IR23" s="227"/>
      <c r="IS23" s="227"/>
      <c r="IT23" s="227"/>
      <c r="IU23" s="227"/>
      <c r="IV23" s="227"/>
    </row>
    <row r="24" spans="1:256" s="492" customFormat="1" ht="16.5" customHeight="1" x14ac:dyDescent="0.2">
      <c r="A24" s="41" t="s">
        <v>149</v>
      </c>
      <c r="B24" s="22">
        <f t="shared" ref="B24:G24" si="0">SUM(B13:B23)</f>
        <v>7461.9</v>
      </c>
      <c r="C24" s="22">
        <f t="shared" si="0"/>
        <v>10242</v>
      </c>
      <c r="D24" s="22">
        <f t="shared" si="0"/>
        <v>10750</v>
      </c>
      <c r="E24" s="22">
        <f t="shared" si="0"/>
        <v>12146</v>
      </c>
      <c r="F24" s="22">
        <f t="shared" si="0"/>
        <v>13163</v>
      </c>
      <c r="G24" s="22">
        <f t="shared" si="0"/>
        <v>11918</v>
      </c>
      <c r="H24" s="677"/>
      <c r="I24" s="677"/>
      <c r="J24" s="677"/>
      <c r="K24" s="677"/>
      <c r="L24" s="677"/>
      <c r="M24" s="677"/>
      <c r="N24" s="677"/>
      <c r="O24" s="677"/>
      <c r="P24" s="677"/>
      <c r="Q24" s="677"/>
      <c r="R24" s="677"/>
      <c r="S24" s="677"/>
      <c r="T24" s="677"/>
      <c r="U24" s="677"/>
      <c r="V24" s="677"/>
      <c r="W24" s="677"/>
      <c r="X24" s="677"/>
      <c r="Y24" s="677"/>
      <c r="Z24" s="677"/>
      <c r="AA24" s="193"/>
      <c r="AB24" s="193"/>
      <c r="AC24" s="193"/>
      <c r="AD24" s="193"/>
      <c r="AE24" s="193"/>
      <c r="AF24" s="193"/>
      <c r="AG24" s="193"/>
      <c r="AH24" s="193"/>
      <c r="AI24" s="193"/>
      <c r="AJ24" s="193"/>
      <c r="AK24" s="193"/>
      <c r="AL24" s="193"/>
      <c r="AM24" s="193"/>
      <c r="AN24" s="193"/>
      <c r="AO24" s="193"/>
      <c r="AP24" s="193"/>
      <c r="AQ24" s="193"/>
      <c r="AR24" s="193"/>
      <c r="AS24" s="193"/>
      <c r="AT24" s="193"/>
      <c r="AU24" s="193"/>
      <c r="AV24" s="193"/>
      <c r="AW24" s="193"/>
      <c r="AX24" s="193"/>
      <c r="AY24" s="193"/>
      <c r="AZ24" s="193"/>
      <c r="BA24" s="193"/>
      <c r="BB24" s="193"/>
      <c r="BC24" s="193"/>
      <c r="BD24" s="193"/>
      <c r="BE24" s="193"/>
      <c r="BF24" s="193"/>
      <c r="BG24" s="193"/>
      <c r="BH24" s="193"/>
      <c r="BI24" s="193"/>
      <c r="BJ24" s="193"/>
      <c r="BK24" s="193"/>
      <c r="BL24" s="193"/>
      <c r="BM24" s="193"/>
      <c r="BN24" s="193"/>
      <c r="BO24" s="193"/>
      <c r="BP24" s="193"/>
      <c r="BQ24" s="193"/>
      <c r="BR24" s="193"/>
      <c r="BS24" s="193"/>
      <c r="BT24" s="193"/>
      <c r="BU24" s="193"/>
      <c r="BV24" s="193"/>
      <c r="BW24" s="193"/>
      <c r="BX24" s="193"/>
      <c r="BY24" s="193"/>
      <c r="BZ24" s="193"/>
      <c r="CA24" s="193"/>
      <c r="CB24" s="193"/>
      <c r="CC24" s="193"/>
      <c r="CD24" s="193"/>
      <c r="CE24" s="193"/>
      <c r="CF24" s="193"/>
      <c r="CG24" s="193"/>
      <c r="CH24" s="193"/>
      <c r="CI24" s="193"/>
      <c r="CJ24" s="193"/>
      <c r="CK24" s="193"/>
      <c r="CL24" s="193"/>
      <c r="CM24" s="193"/>
      <c r="CN24" s="193"/>
      <c r="CO24" s="193"/>
      <c r="CP24" s="193"/>
      <c r="CQ24" s="193"/>
      <c r="CR24" s="193"/>
      <c r="CS24" s="193"/>
      <c r="CT24" s="193"/>
      <c r="CU24" s="193"/>
      <c r="CV24" s="193"/>
      <c r="CW24" s="193"/>
      <c r="CX24" s="193"/>
      <c r="CY24" s="193"/>
      <c r="CZ24" s="193"/>
      <c r="DA24" s="193"/>
      <c r="DB24" s="193"/>
      <c r="DC24" s="193"/>
      <c r="DD24" s="193"/>
      <c r="DE24" s="193"/>
      <c r="DF24" s="193"/>
      <c r="DG24" s="193"/>
      <c r="DH24" s="193"/>
      <c r="DI24" s="193"/>
      <c r="DJ24" s="193"/>
      <c r="DK24" s="193"/>
      <c r="DL24" s="193"/>
      <c r="DM24" s="193"/>
      <c r="DN24" s="193"/>
      <c r="DO24" s="193"/>
      <c r="DP24" s="193"/>
      <c r="DQ24" s="193"/>
      <c r="DR24" s="193"/>
      <c r="DS24" s="193"/>
      <c r="DT24" s="193"/>
      <c r="DU24" s="193"/>
      <c r="DV24" s="193"/>
      <c r="DW24" s="193"/>
      <c r="DX24" s="193"/>
      <c r="DY24" s="193"/>
      <c r="DZ24" s="193"/>
      <c r="EA24" s="193"/>
      <c r="EB24" s="193"/>
      <c r="EC24" s="193"/>
      <c r="ED24" s="193"/>
      <c r="EE24" s="193"/>
      <c r="EF24" s="193"/>
      <c r="EG24" s="193"/>
      <c r="EH24" s="193"/>
      <c r="EI24" s="193"/>
      <c r="EJ24" s="193"/>
      <c r="EK24" s="193"/>
      <c r="EL24" s="193"/>
      <c r="EM24" s="193"/>
      <c r="EN24" s="193"/>
      <c r="EO24" s="193"/>
      <c r="EP24" s="193"/>
      <c r="EQ24" s="193"/>
      <c r="ER24" s="193"/>
      <c r="ES24" s="193"/>
      <c r="ET24" s="193"/>
      <c r="EU24" s="193"/>
      <c r="EV24" s="193"/>
      <c r="EW24" s="193"/>
      <c r="EX24" s="193"/>
      <c r="EY24" s="193"/>
      <c r="EZ24" s="193"/>
      <c r="FA24" s="193"/>
      <c r="FB24" s="193"/>
      <c r="FC24" s="193"/>
      <c r="FD24" s="193"/>
      <c r="FE24" s="193"/>
      <c r="FF24" s="193"/>
      <c r="FG24" s="193"/>
      <c r="FH24" s="193"/>
      <c r="FI24" s="193"/>
      <c r="FJ24" s="193"/>
      <c r="FK24" s="193"/>
      <c r="FL24" s="193"/>
      <c r="FM24" s="193"/>
      <c r="FN24" s="193"/>
      <c r="FO24" s="193"/>
      <c r="FP24" s="193"/>
      <c r="FQ24" s="193"/>
      <c r="FR24" s="193"/>
      <c r="FS24" s="193"/>
      <c r="FT24" s="193"/>
      <c r="FU24" s="193"/>
      <c r="FV24" s="193"/>
      <c r="FW24" s="193"/>
      <c r="FX24" s="193"/>
      <c r="FY24" s="193"/>
      <c r="FZ24" s="193"/>
      <c r="GA24" s="193"/>
      <c r="GB24" s="193"/>
      <c r="GC24" s="193"/>
      <c r="GD24" s="193"/>
      <c r="GE24" s="193"/>
      <c r="GF24" s="193"/>
      <c r="GG24" s="193"/>
      <c r="GH24" s="193"/>
      <c r="GI24" s="193"/>
      <c r="GJ24" s="193"/>
      <c r="GK24" s="193"/>
      <c r="GL24" s="193"/>
      <c r="GM24" s="193"/>
      <c r="GN24" s="193"/>
      <c r="GO24" s="193"/>
      <c r="GP24" s="193"/>
      <c r="GQ24" s="193"/>
      <c r="GR24" s="193"/>
      <c r="GS24" s="193"/>
      <c r="GT24" s="193"/>
      <c r="GU24" s="193"/>
      <c r="GV24" s="193"/>
      <c r="GW24" s="193"/>
      <c r="GX24" s="193"/>
      <c r="GY24" s="193"/>
      <c r="GZ24" s="193"/>
      <c r="HA24" s="193"/>
      <c r="HB24" s="193"/>
      <c r="HC24" s="193"/>
      <c r="HD24" s="193"/>
      <c r="HE24" s="193"/>
      <c r="HF24" s="193"/>
      <c r="HG24" s="193"/>
      <c r="HH24" s="193"/>
      <c r="HI24" s="193"/>
      <c r="HJ24" s="193"/>
      <c r="HK24" s="193"/>
      <c r="HL24" s="193"/>
      <c r="HM24" s="193"/>
      <c r="HN24" s="193"/>
      <c r="HO24" s="193"/>
      <c r="HP24" s="193"/>
      <c r="HQ24" s="193"/>
      <c r="HR24" s="193"/>
      <c r="HS24" s="193"/>
      <c r="HT24" s="193"/>
      <c r="HU24" s="193"/>
      <c r="HV24" s="193"/>
      <c r="HW24" s="193"/>
      <c r="HX24" s="193"/>
      <c r="HY24" s="193"/>
      <c r="HZ24" s="193"/>
      <c r="IA24" s="193"/>
      <c r="IB24" s="193"/>
      <c r="IC24" s="193"/>
      <c r="ID24" s="193"/>
      <c r="IE24" s="193"/>
      <c r="IF24" s="193"/>
      <c r="IG24" s="193"/>
      <c r="IH24" s="193"/>
      <c r="II24" s="193"/>
      <c r="IJ24" s="193"/>
      <c r="IK24" s="193"/>
      <c r="IL24" s="193"/>
      <c r="IM24" s="193"/>
      <c r="IN24" s="193"/>
      <c r="IO24" s="193"/>
      <c r="IP24" s="193"/>
      <c r="IQ24" s="193"/>
      <c r="IR24" s="193"/>
      <c r="IS24" s="193"/>
      <c r="IT24" s="193"/>
      <c r="IU24" s="193"/>
      <c r="IV24" s="193"/>
    </row>
    <row r="25" spans="1:256" s="208" customFormat="1" ht="5.25" customHeight="1" x14ac:dyDescent="0.2">
      <c r="A25" s="193"/>
      <c r="B25" s="193"/>
      <c r="C25" s="193"/>
      <c r="D25" s="193"/>
      <c r="E25" s="193"/>
      <c r="F25" s="193"/>
      <c r="G25" s="193"/>
      <c r="H25" s="677"/>
      <c r="I25" s="677"/>
      <c r="J25" s="677"/>
      <c r="K25" s="677"/>
      <c r="L25" s="677"/>
      <c r="M25" s="677"/>
      <c r="N25" s="677"/>
      <c r="O25" s="677"/>
      <c r="P25" s="677"/>
      <c r="Q25" s="677"/>
      <c r="R25" s="677"/>
      <c r="S25" s="677"/>
      <c r="T25" s="677"/>
      <c r="U25" s="677"/>
      <c r="V25" s="677"/>
      <c r="W25" s="677"/>
      <c r="X25" s="677"/>
      <c r="Y25" s="677"/>
      <c r="Z25" s="677"/>
      <c r="AA25" s="193"/>
      <c r="AB25" s="193"/>
      <c r="AC25" s="193"/>
      <c r="AD25" s="193"/>
      <c r="AE25" s="193"/>
      <c r="AF25" s="193"/>
      <c r="AG25" s="193"/>
      <c r="AH25" s="193"/>
      <c r="AI25" s="193"/>
      <c r="AJ25" s="193"/>
      <c r="AK25" s="193"/>
      <c r="AL25" s="193"/>
      <c r="AM25" s="193"/>
      <c r="AN25" s="193"/>
      <c r="AO25" s="193"/>
      <c r="AP25" s="193"/>
      <c r="AQ25" s="193"/>
      <c r="AR25" s="193"/>
      <c r="AS25" s="193"/>
      <c r="AT25" s="193"/>
      <c r="AU25" s="193"/>
      <c r="AV25" s="193"/>
      <c r="AW25" s="193"/>
      <c r="AX25" s="193"/>
      <c r="AY25" s="193"/>
      <c r="AZ25" s="193"/>
      <c r="BA25" s="193"/>
      <c r="BB25" s="193"/>
      <c r="BC25" s="193"/>
      <c r="BD25" s="193"/>
      <c r="BE25" s="193"/>
      <c r="BF25" s="193"/>
      <c r="BG25" s="193"/>
      <c r="BH25" s="193"/>
      <c r="BI25" s="193"/>
      <c r="BJ25" s="193"/>
      <c r="BK25" s="193"/>
      <c r="BL25" s="193"/>
      <c r="BM25" s="193"/>
      <c r="BN25" s="193"/>
      <c r="BO25" s="193"/>
      <c r="BP25" s="193"/>
      <c r="BQ25" s="193"/>
      <c r="BR25" s="193"/>
      <c r="BS25" s="193"/>
      <c r="BT25" s="193"/>
      <c r="BU25" s="193"/>
      <c r="BV25" s="193"/>
      <c r="BW25" s="193"/>
      <c r="BX25" s="193"/>
      <c r="BY25" s="193"/>
      <c r="BZ25" s="193"/>
      <c r="CA25" s="193"/>
      <c r="CB25" s="193"/>
      <c r="CC25" s="193"/>
      <c r="CD25" s="193"/>
      <c r="CE25" s="193"/>
      <c r="CF25" s="193"/>
      <c r="CG25" s="193"/>
      <c r="CH25" s="193"/>
      <c r="CI25" s="193"/>
      <c r="CJ25" s="193"/>
      <c r="CK25" s="193"/>
      <c r="CL25" s="193"/>
      <c r="CM25" s="193"/>
      <c r="CN25" s="193"/>
      <c r="CO25" s="193"/>
      <c r="CP25" s="193"/>
      <c r="CQ25" s="193"/>
      <c r="CR25" s="193"/>
      <c r="CS25" s="193"/>
      <c r="CT25" s="193"/>
      <c r="CU25" s="193"/>
      <c r="CV25" s="193"/>
      <c r="CW25" s="193"/>
      <c r="CX25" s="193"/>
      <c r="CY25" s="193"/>
      <c r="CZ25" s="193"/>
      <c r="DA25" s="193"/>
      <c r="DB25" s="193"/>
      <c r="DC25" s="193"/>
      <c r="DD25" s="193"/>
      <c r="DE25" s="193"/>
      <c r="DF25" s="193"/>
      <c r="DG25" s="193"/>
      <c r="DH25" s="193"/>
      <c r="DI25" s="193"/>
      <c r="DJ25" s="193"/>
      <c r="DK25" s="193"/>
      <c r="DL25" s="193"/>
      <c r="DM25" s="193"/>
      <c r="DN25" s="193"/>
      <c r="DO25" s="193"/>
      <c r="DP25" s="193"/>
      <c r="DQ25" s="193"/>
      <c r="DR25" s="193"/>
      <c r="DS25" s="193"/>
      <c r="DT25" s="193"/>
      <c r="DU25" s="193"/>
      <c r="DV25" s="193"/>
      <c r="DW25" s="193"/>
      <c r="DX25" s="193"/>
      <c r="DY25" s="193"/>
      <c r="DZ25" s="193"/>
      <c r="EA25" s="193"/>
      <c r="EB25" s="193"/>
      <c r="EC25" s="193"/>
      <c r="ED25" s="193"/>
      <c r="EE25" s="193"/>
      <c r="EF25" s="193"/>
      <c r="EG25" s="193"/>
      <c r="EH25" s="193"/>
      <c r="EI25" s="193"/>
      <c r="EJ25" s="193"/>
      <c r="EK25" s="193"/>
      <c r="EL25" s="193"/>
      <c r="EM25" s="193"/>
      <c r="EN25" s="193"/>
      <c r="EO25" s="193"/>
      <c r="EP25" s="193"/>
      <c r="EQ25" s="193"/>
      <c r="ER25" s="193"/>
      <c r="ES25" s="193"/>
      <c r="ET25" s="193"/>
      <c r="EU25" s="193"/>
      <c r="EV25" s="193"/>
      <c r="EW25" s="193"/>
      <c r="EX25" s="193"/>
      <c r="EY25" s="193"/>
      <c r="EZ25" s="193"/>
      <c r="FA25" s="193"/>
      <c r="FB25" s="193"/>
      <c r="FC25" s="193"/>
      <c r="FD25" s="193"/>
      <c r="FE25" s="193"/>
      <c r="FF25" s="193"/>
      <c r="FG25" s="193"/>
      <c r="FH25" s="193"/>
      <c r="FI25" s="193"/>
      <c r="FJ25" s="193"/>
      <c r="FK25" s="193"/>
      <c r="FL25" s="193"/>
      <c r="FM25" s="193"/>
      <c r="FN25" s="193"/>
      <c r="FO25" s="193"/>
      <c r="FP25" s="193"/>
      <c r="FQ25" s="193"/>
      <c r="FR25" s="193"/>
      <c r="FS25" s="193"/>
      <c r="FT25" s="193"/>
      <c r="FU25" s="193"/>
      <c r="FV25" s="193"/>
      <c r="FW25" s="193"/>
      <c r="FX25" s="193"/>
      <c r="FY25" s="193"/>
      <c r="FZ25" s="193"/>
      <c r="GA25" s="193"/>
      <c r="GB25" s="193"/>
      <c r="GC25" s="193"/>
      <c r="GD25" s="193"/>
      <c r="GE25" s="193"/>
      <c r="GF25" s="193"/>
      <c r="GG25" s="193"/>
      <c r="GH25" s="193"/>
      <c r="GI25" s="193"/>
      <c r="GJ25" s="193"/>
      <c r="GK25" s="193"/>
      <c r="GL25" s="193"/>
      <c r="GM25" s="193"/>
      <c r="GN25" s="193"/>
      <c r="GO25" s="193"/>
      <c r="GP25" s="193"/>
      <c r="GQ25" s="193"/>
      <c r="GR25" s="193"/>
      <c r="GS25" s="193"/>
      <c r="GT25" s="193"/>
      <c r="GU25" s="193"/>
      <c r="GV25" s="193"/>
      <c r="GW25" s="193"/>
      <c r="GX25" s="193"/>
      <c r="GY25" s="193"/>
      <c r="GZ25" s="193"/>
      <c r="HA25" s="193"/>
      <c r="HB25" s="193"/>
      <c r="HC25" s="193"/>
      <c r="HD25" s="193"/>
      <c r="HE25" s="193"/>
      <c r="HF25" s="193"/>
      <c r="HG25" s="193"/>
      <c r="HH25" s="193"/>
      <c r="HI25" s="193"/>
      <c r="HJ25" s="193"/>
      <c r="HK25" s="193"/>
      <c r="HL25" s="193"/>
      <c r="HM25" s="193"/>
      <c r="HN25" s="193"/>
      <c r="HO25" s="193"/>
      <c r="HP25" s="193"/>
      <c r="HQ25" s="193"/>
      <c r="HR25" s="193"/>
      <c r="HS25" s="193"/>
      <c r="HT25" s="193"/>
      <c r="HU25" s="193"/>
      <c r="HV25" s="193"/>
      <c r="HW25" s="193"/>
      <c r="HX25" s="193"/>
      <c r="HY25" s="193"/>
      <c r="HZ25" s="193"/>
      <c r="IA25" s="193"/>
      <c r="IB25" s="193"/>
      <c r="IC25" s="193"/>
      <c r="ID25" s="193"/>
      <c r="IE25" s="193"/>
      <c r="IF25" s="193"/>
      <c r="IG25" s="193"/>
      <c r="IH25" s="193"/>
      <c r="II25" s="193"/>
      <c r="IJ25" s="193"/>
      <c r="IK25" s="193"/>
      <c r="IL25" s="193"/>
      <c r="IM25" s="193"/>
      <c r="IN25" s="193"/>
      <c r="IO25" s="193"/>
      <c r="IP25" s="193"/>
      <c r="IQ25" s="193"/>
      <c r="IR25" s="193"/>
      <c r="IS25" s="193"/>
      <c r="IT25" s="193"/>
      <c r="IU25" s="193"/>
      <c r="IV25" s="193"/>
    </row>
    <row r="26" spans="1:256" s="224" customFormat="1" ht="16.5" customHeight="1" x14ac:dyDescent="0.2">
      <c r="A26" s="32" t="str">
        <f>'Common-size FS'!A36</f>
        <v>AP</v>
      </c>
      <c r="B26" s="32">
        <f>'Common-size FS'!B36</f>
        <v>846</v>
      </c>
      <c r="C26" s="32">
        <f>'Common-size FS'!C36</f>
        <v>917</v>
      </c>
      <c r="D26" s="32">
        <f>'Common-size FS'!D36</f>
        <v>1011</v>
      </c>
      <c r="E26" s="32">
        <f>'Common-size FS'!E36</f>
        <v>1263</v>
      </c>
      <c r="F26" s="32">
        <f>'Common-size FS'!F36</f>
        <v>1328</v>
      </c>
      <c r="G26" s="32">
        <f>'Common-size FS'!G36</f>
        <v>1324</v>
      </c>
      <c r="H26" s="718"/>
      <c r="I26" s="718"/>
      <c r="J26" s="718"/>
      <c r="K26" s="718"/>
      <c r="L26" s="718"/>
      <c r="M26" s="718"/>
      <c r="N26" s="718"/>
      <c r="O26" s="718"/>
      <c r="P26" s="718"/>
      <c r="Q26" s="718"/>
      <c r="R26" s="718"/>
      <c r="S26" s="718"/>
      <c r="T26" s="718"/>
      <c r="U26" s="718"/>
      <c r="V26" s="718"/>
      <c r="W26" s="718"/>
      <c r="X26" s="718"/>
      <c r="Y26" s="718"/>
      <c r="Z26" s="718"/>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6"/>
      <c r="EK26" s="96"/>
      <c r="EL26" s="96"/>
      <c r="EM26" s="96"/>
      <c r="EN26" s="96"/>
      <c r="EO26" s="96"/>
      <c r="EP26" s="96"/>
      <c r="EQ26" s="96"/>
      <c r="ER26" s="96"/>
      <c r="ES26" s="96"/>
      <c r="ET26" s="96"/>
      <c r="EU26" s="96"/>
      <c r="EV26" s="96"/>
      <c r="EW26" s="96"/>
      <c r="EX26" s="96"/>
      <c r="EY26" s="96"/>
      <c r="EZ26" s="96"/>
      <c r="FA26" s="96"/>
      <c r="FB26" s="96"/>
      <c r="FC26" s="96"/>
      <c r="FD26" s="96"/>
      <c r="FE26" s="96"/>
      <c r="FF26" s="96"/>
      <c r="FG26" s="96"/>
      <c r="FH26" s="96"/>
      <c r="FI26" s="96"/>
      <c r="FJ26" s="96"/>
      <c r="FK26" s="96"/>
      <c r="FL26" s="96"/>
      <c r="FM26" s="96"/>
      <c r="FN26" s="96"/>
      <c r="FO26" s="96"/>
      <c r="FP26" s="96"/>
      <c r="FQ26" s="96"/>
      <c r="FR26" s="96"/>
      <c r="FS26" s="96"/>
      <c r="FT26" s="96"/>
      <c r="FU26" s="96"/>
      <c r="FV26" s="96"/>
      <c r="FW26" s="96"/>
      <c r="FX26" s="96"/>
      <c r="FY26" s="96"/>
      <c r="FZ26" s="96"/>
      <c r="GA26" s="96"/>
      <c r="GB26" s="96"/>
      <c r="GC26" s="96"/>
      <c r="GD26" s="96"/>
      <c r="GE26" s="96"/>
      <c r="GF26" s="96"/>
      <c r="GG26" s="96"/>
      <c r="GH26" s="96"/>
      <c r="GI26" s="96"/>
      <c r="GJ26" s="96"/>
      <c r="GK26" s="96"/>
      <c r="GL26" s="96"/>
      <c r="GM26" s="96"/>
      <c r="GN26" s="96"/>
      <c r="GO26" s="96"/>
      <c r="GP26" s="96"/>
      <c r="GQ26" s="96"/>
      <c r="GR26" s="96"/>
      <c r="GS26" s="96"/>
      <c r="GT26" s="96"/>
      <c r="GU26" s="96"/>
      <c r="GV26" s="96"/>
      <c r="GW26" s="96"/>
      <c r="GX26" s="96"/>
      <c r="GY26" s="96"/>
      <c r="GZ26" s="96"/>
      <c r="HA26" s="96"/>
      <c r="HB26" s="96"/>
      <c r="HC26" s="96"/>
      <c r="HD26" s="96"/>
      <c r="HE26" s="96"/>
      <c r="HF26" s="96"/>
      <c r="HG26" s="96"/>
      <c r="HH26" s="96"/>
      <c r="HI26" s="96"/>
      <c r="HJ26" s="96"/>
      <c r="HK26" s="96"/>
      <c r="HL26" s="96"/>
      <c r="HM26" s="96"/>
      <c r="HN26" s="96"/>
      <c r="HO26" s="96"/>
      <c r="HP26" s="96"/>
      <c r="HQ26" s="96"/>
      <c r="HR26" s="96"/>
      <c r="HS26" s="96"/>
      <c r="HT26" s="96"/>
      <c r="HU26" s="96"/>
      <c r="HV26" s="96"/>
      <c r="HW26" s="96"/>
      <c r="HX26" s="96"/>
      <c r="HY26" s="96"/>
      <c r="HZ26" s="96"/>
      <c r="IA26" s="96"/>
      <c r="IB26" s="96"/>
      <c r="IC26" s="96"/>
      <c r="ID26" s="96"/>
      <c r="IE26" s="96"/>
      <c r="IF26" s="96"/>
      <c r="IG26" s="96"/>
      <c r="IH26" s="96"/>
      <c r="II26" s="96"/>
      <c r="IJ26" s="96"/>
      <c r="IK26" s="96"/>
      <c r="IL26" s="96"/>
      <c r="IM26" s="96"/>
      <c r="IN26" s="96"/>
      <c r="IO26" s="96"/>
      <c r="IP26" s="96"/>
      <c r="IQ26" s="96"/>
      <c r="IR26" s="96"/>
      <c r="IS26" s="96"/>
      <c r="IT26" s="96"/>
      <c r="IU26" s="96"/>
      <c r="IV26" s="96"/>
    </row>
    <row r="27" spans="1:256" s="224" customFormat="1" ht="16.5" customHeight="1" x14ac:dyDescent="0.2">
      <c r="A27" s="32" t="str">
        <f>'Common-size FS'!A37</f>
        <v>Accrued liabilities</v>
      </c>
      <c r="B27" s="32">
        <f>'Common-size FS'!B37</f>
        <v>375</v>
      </c>
      <c r="C27" s="32">
        <f>'Common-size FS'!C37</f>
        <v>1661</v>
      </c>
      <c r="D27" s="32">
        <f>'Common-size FS'!D37</f>
        <v>1833</v>
      </c>
      <c r="E27" s="32">
        <f>'Common-size FS'!E37</f>
        <v>1845</v>
      </c>
      <c r="F27" s="32">
        <f>'Common-size FS'!F37</f>
        <v>2225</v>
      </c>
      <c r="G27" s="32">
        <f>'Common-size FS'!G37</f>
        <v>2107</v>
      </c>
      <c r="H27" s="718"/>
      <c r="I27" s="718"/>
      <c r="J27" s="718"/>
      <c r="K27" s="718"/>
      <c r="L27" s="718"/>
      <c r="M27" s="718"/>
      <c r="N27" s="718"/>
      <c r="O27" s="718"/>
      <c r="P27" s="718"/>
      <c r="Q27" s="718"/>
      <c r="R27" s="718"/>
      <c r="S27" s="718"/>
      <c r="T27" s="718"/>
      <c r="U27" s="718"/>
      <c r="V27" s="718"/>
      <c r="W27" s="718"/>
      <c r="X27" s="718"/>
      <c r="Y27" s="718"/>
      <c r="Z27" s="718"/>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6"/>
      <c r="BL27" s="96"/>
      <c r="BM27" s="96"/>
      <c r="BN27" s="96"/>
      <c r="BO27" s="96"/>
      <c r="BP27" s="96"/>
      <c r="BQ27" s="96"/>
      <c r="BR27" s="96"/>
      <c r="BS27" s="96"/>
      <c r="BT27" s="96"/>
      <c r="BU27" s="96"/>
      <c r="BV27" s="96"/>
      <c r="BW27" s="96"/>
      <c r="BX27" s="96"/>
      <c r="BY27" s="96"/>
      <c r="BZ27" s="96"/>
      <c r="CA27" s="96"/>
      <c r="CB27" s="96"/>
      <c r="CC27" s="96"/>
      <c r="CD27" s="96"/>
      <c r="CE27" s="96"/>
      <c r="CF27" s="96"/>
      <c r="CG27" s="96"/>
      <c r="CH27" s="96"/>
      <c r="CI27" s="96"/>
      <c r="CJ27" s="96"/>
      <c r="CK27" s="96"/>
      <c r="CL27" s="96"/>
      <c r="CM27" s="96"/>
      <c r="CN27" s="96"/>
      <c r="CO27" s="96"/>
      <c r="CP27" s="96"/>
      <c r="CQ27" s="96"/>
      <c r="CR27" s="96"/>
      <c r="CS27" s="96"/>
      <c r="CT27" s="96"/>
      <c r="CU27" s="96"/>
      <c r="CV27" s="96"/>
      <c r="CW27" s="96"/>
      <c r="CX27" s="96"/>
      <c r="CY27" s="96"/>
      <c r="CZ27" s="96"/>
      <c r="DA27" s="96"/>
      <c r="DB27" s="96"/>
      <c r="DC27" s="96"/>
      <c r="DD27" s="96"/>
      <c r="DE27" s="96"/>
      <c r="DF27" s="96"/>
      <c r="DG27" s="96"/>
      <c r="DH27" s="96"/>
      <c r="DI27" s="96"/>
      <c r="DJ27" s="96"/>
      <c r="DK27" s="96"/>
      <c r="DL27" s="96"/>
      <c r="DM27" s="96"/>
      <c r="DN27" s="96"/>
      <c r="DO27" s="96"/>
      <c r="DP27" s="96"/>
      <c r="DQ27" s="96"/>
      <c r="DR27" s="96"/>
      <c r="DS27" s="96"/>
      <c r="DT27" s="96"/>
      <c r="DU27" s="96"/>
      <c r="DV27" s="96"/>
      <c r="DW27" s="96"/>
      <c r="DX27" s="96"/>
      <c r="DY27" s="96"/>
      <c r="DZ27" s="96"/>
      <c r="EA27" s="96"/>
      <c r="EB27" s="96"/>
      <c r="EC27" s="96"/>
      <c r="ED27" s="96"/>
      <c r="EE27" s="96"/>
      <c r="EF27" s="96"/>
      <c r="EG27" s="96"/>
      <c r="EH27" s="96"/>
      <c r="EI27" s="96"/>
      <c r="EJ27" s="96"/>
      <c r="EK27" s="96"/>
      <c r="EL27" s="96"/>
      <c r="EM27" s="96"/>
      <c r="EN27" s="96"/>
      <c r="EO27" s="96"/>
      <c r="EP27" s="96"/>
      <c r="EQ27" s="96"/>
      <c r="ER27" s="96"/>
      <c r="ES27" s="96"/>
      <c r="ET27" s="96"/>
      <c r="EU27" s="96"/>
      <c r="EV27" s="96"/>
      <c r="EW27" s="96"/>
      <c r="EX27" s="96"/>
      <c r="EY27" s="96"/>
      <c r="EZ27" s="96"/>
      <c r="FA27" s="96"/>
      <c r="FB27" s="96"/>
      <c r="FC27" s="96"/>
      <c r="FD27" s="96"/>
      <c r="FE27" s="96"/>
      <c r="FF27" s="96"/>
      <c r="FG27" s="96"/>
      <c r="FH27" s="96"/>
      <c r="FI27" s="96"/>
      <c r="FJ27" s="96"/>
      <c r="FK27" s="96"/>
      <c r="FL27" s="96"/>
      <c r="FM27" s="96"/>
      <c r="FN27" s="96"/>
      <c r="FO27" s="96"/>
      <c r="FP27" s="96"/>
      <c r="FQ27" s="96"/>
      <c r="FR27" s="96"/>
      <c r="FS27" s="96"/>
      <c r="FT27" s="96"/>
      <c r="FU27" s="96"/>
      <c r="FV27" s="96"/>
      <c r="FW27" s="96"/>
      <c r="FX27" s="96"/>
      <c r="FY27" s="96"/>
      <c r="FZ27" s="96"/>
      <c r="GA27" s="96"/>
      <c r="GB27" s="96"/>
      <c r="GC27" s="96"/>
      <c r="GD27" s="96"/>
      <c r="GE27" s="96"/>
      <c r="GF27" s="96"/>
      <c r="GG27" s="96"/>
      <c r="GH27" s="96"/>
      <c r="GI27" s="96"/>
      <c r="GJ27" s="96"/>
      <c r="GK27" s="96"/>
      <c r="GL27" s="96"/>
      <c r="GM27" s="96"/>
      <c r="GN27" s="96"/>
      <c r="GO27" s="96"/>
      <c r="GP27" s="96"/>
      <c r="GQ27" s="96"/>
      <c r="GR27" s="96"/>
      <c r="GS27" s="96"/>
      <c r="GT27" s="96"/>
      <c r="GU27" s="96"/>
      <c r="GV27" s="96"/>
      <c r="GW27" s="96"/>
      <c r="GX27" s="96"/>
      <c r="GY27" s="96"/>
      <c r="GZ27" s="96"/>
      <c r="HA27" s="96"/>
      <c r="HB27" s="96"/>
      <c r="HC27" s="96"/>
      <c r="HD27" s="96"/>
      <c r="HE27" s="96"/>
      <c r="HF27" s="96"/>
      <c r="HG27" s="96"/>
      <c r="HH27" s="96"/>
      <c r="HI27" s="96"/>
      <c r="HJ27" s="96"/>
      <c r="HK27" s="96"/>
      <c r="HL27" s="96"/>
      <c r="HM27" s="96"/>
      <c r="HN27" s="96"/>
      <c r="HO27" s="96"/>
      <c r="HP27" s="96"/>
      <c r="HQ27" s="96"/>
      <c r="HR27" s="96"/>
      <c r="HS27" s="96"/>
      <c r="HT27" s="96"/>
      <c r="HU27" s="96"/>
      <c r="HV27" s="96"/>
      <c r="HW27" s="96"/>
      <c r="HX27" s="96"/>
      <c r="HY27" s="96"/>
      <c r="HZ27" s="96"/>
      <c r="IA27" s="96"/>
      <c r="IB27" s="96"/>
      <c r="IC27" s="96"/>
      <c r="ID27" s="96"/>
      <c r="IE27" s="96"/>
      <c r="IF27" s="96"/>
      <c r="IG27" s="96"/>
      <c r="IH27" s="96"/>
      <c r="II27" s="96"/>
      <c r="IJ27" s="96"/>
      <c r="IK27" s="96"/>
      <c r="IL27" s="96"/>
      <c r="IM27" s="96"/>
      <c r="IN27" s="96"/>
      <c r="IO27" s="96"/>
      <c r="IP27" s="96"/>
      <c r="IQ27" s="96"/>
      <c r="IR27" s="96"/>
      <c r="IS27" s="96"/>
      <c r="IT27" s="96"/>
      <c r="IU27" s="96"/>
      <c r="IV27" s="96"/>
    </row>
    <row r="28" spans="1:256" s="224" customFormat="1" ht="16.5" customHeight="1" x14ac:dyDescent="0.2">
      <c r="A28" s="32" t="str">
        <f>'Common-size FS'!A38</f>
        <v>Income taxes payable</v>
      </c>
      <c r="B28" s="32">
        <f>'Common-size FS'!B38</f>
        <v>0</v>
      </c>
      <c r="C28" s="32">
        <f>'Common-size FS'!C38</f>
        <v>0</v>
      </c>
      <c r="D28" s="32">
        <f>'Common-size FS'!D38</f>
        <v>0</v>
      </c>
      <c r="E28" s="32">
        <f>'Common-size FS'!E38</f>
        <v>0</v>
      </c>
      <c r="F28" s="32">
        <f>'Common-size FS'!F38</f>
        <v>0</v>
      </c>
      <c r="G28" s="32">
        <f>'Common-size FS'!G38</f>
        <v>0</v>
      </c>
      <c r="H28" s="718"/>
      <c r="I28" s="718"/>
      <c r="J28" s="718"/>
      <c r="K28" s="718"/>
      <c r="L28" s="718"/>
      <c r="M28" s="718"/>
      <c r="N28" s="718"/>
      <c r="O28" s="718"/>
      <c r="P28" s="718"/>
      <c r="Q28" s="718"/>
      <c r="R28" s="718"/>
      <c r="S28" s="718"/>
      <c r="T28" s="718"/>
      <c r="U28" s="718"/>
      <c r="V28" s="718"/>
      <c r="W28" s="718"/>
      <c r="X28" s="718"/>
      <c r="Y28" s="718"/>
      <c r="Z28" s="718"/>
      <c r="AA28" s="96"/>
      <c r="AB28" s="96"/>
      <c r="AC28" s="96"/>
      <c r="AD28" s="96"/>
      <c r="AE28" s="96"/>
      <c r="AF28" s="96"/>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c r="BI28" s="96"/>
      <c r="BJ28" s="96"/>
      <c r="BK28" s="96"/>
      <c r="BL28" s="96"/>
      <c r="BM28" s="96"/>
      <c r="BN28" s="96"/>
      <c r="BO28" s="96"/>
      <c r="BP28" s="96"/>
      <c r="BQ28" s="96"/>
      <c r="BR28" s="96"/>
      <c r="BS28" s="96"/>
      <c r="BT28" s="96"/>
      <c r="BU28" s="96"/>
      <c r="BV28" s="96"/>
      <c r="BW28" s="96"/>
      <c r="BX28" s="96"/>
      <c r="BY28" s="96"/>
      <c r="BZ28" s="96"/>
      <c r="CA28" s="96"/>
      <c r="CB28" s="96"/>
      <c r="CC28" s="96"/>
      <c r="CD28" s="96"/>
      <c r="CE28" s="96"/>
      <c r="CF28" s="96"/>
      <c r="CG28" s="96"/>
      <c r="CH28" s="96"/>
      <c r="CI28" s="96"/>
      <c r="CJ28" s="96"/>
      <c r="CK28" s="96"/>
      <c r="CL28" s="96"/>
      <c r="CM28" s="96"/>
      <c r="CN28" s="96"/>
      <c r="CO28" s="96"/>
      <c r="CP28" s="96"/>
      <c r="CQ28" s="96"/>
      <c r="CR28" s="96"/>
      <c r="CS28" s="96"/>
      <c r="CT28" s="96"/>
      <c r="CU28" s="96"/>
      <c r="CV28" s="96"/>
      <c r="CW28" s="96"/>
      <c r="CX28" s="96"/>
      <c r="CY28" s="96"/>
      <c r="CZ28" s="96"/>
      <c r="DA28" s="96"/>
      <c r="DB28" s="96"/>
      <c r="DC28" s="96"/>
      <c r="DD28" s="96"/>
      <c r="DE28" s="96"/>
      <c r="DF28" s="96"/>
      <c r="DG28" s="96"/>
      <c r="DH28" s="96"/>
      <c r="DI28" s="96"/>
      <c r="DJ28" s="96"/>
      <c r="DK28" s="96"/>
      <c r="DL28" s="96"/>
      <c r="DM28" s="96"/>
      <c r="DN28" s="96"/>
      <c r="DO28" s="96"/>
      <c r="DP28" s="96"/>
      <c r="DQ28" s="96"/>
      <c r="DR28" s="96"/>
      <c r="DS28" s="96"/>
      <c r="DT28" s="96"/>
      <c r="DU28" s="96"/>
      <c r="DV28" s="96"/>
      <c r="DW28" s="96"/>
      <c r="DX28" s="96"/>
      <c r="DY28" s="96"/>
      <c r="DZ28" s="96"/>
      <c r="EA28" s="96"/>
      <c r="EB28" s="96"/>
      <c r="EC28" s="96"/>
      <c r="ED28" s="96"/>
      <c r="EE28" s="96"/>
      <c r="EF28" s="96"/>
      <c r="EG28" s="96"/>
      <c r="EH28" s="96"/>
      <c r="EI28" s="96"/>
      <c r="EJ28" s="96"/>
      <c r="EK28" s="96"/>
      <c r="EL28" s="96"/>
      <c r="EM28" s="96"/>
      <c r="EN28" s="96"/>
      <c r="EO28" s="96"/>
      <c r="EP28" s="96"/>
      <c r="EQ28" s="96"/>
      <c r="ER28" s="96"/>
      <c r="ES28" s="96"/>
      <c r="ET28" s="96"/>
      <c r="EU28" s="96"/>
      <c r="EV28" s="96"/>
      <c r="EW28" s="96"/>
      <c r="EX28" s="96"/>
      <c r="EY28" s="96"/>
      <c r="EZ28" s="96"/>
      <c r="FA28" s="96"/>
      <c r="FB28" s="96"/>
      <c r="FC28" s="96"/>
      <c r="FD28" s="96"/>
      <c r="FE28" s="96"/>
      <c r="FF28" s="96"/>
      <c r="FG28" s="96"/>
      <c r="FH28" s="96"/>
      <c r="FI28" s="96"/>
      <c r="FJ28" s="96"/>
      <c r="FK28" s="96"/>
      <c r="FL28" s="96"/>
      <c r="FM28" s="96"/>
      <c r="FN28" s="96"/>
      <c r="FO28" s="96"/>
      <c r="FP28" s="96"/>
      <c r="FQ28" s="96"/>
      <c r="FR28" s="96"/>
      <c r="FS28" s="96"/>
      <c r="FT28" s="96"/>
      <c r="FU28" s="96"/>
      <c r="FV28" s="96"/>
      <c r="FW28" s="96"/>
      <c r="FX28" s="96"/>
      <c r="FY28" s="96"/>
      <c r="FZ28" s="96"/>
      <c r="GA28" s="96"/>
      <c r="GB28" s="96"/>
      <c r="GC28" s="96"/>
      <c r="GD28" s="96"/>
      <c r="GE28" s="96"/>
      <c r="GF28" s="96"/>
      <c r="GG28" s="96"/>
      <c r="GH28" s="96"/>
      <c r="GI28" s="96"/>
      <c r="GJ28" s="96"/>
      <c r="GK28" s="96"/>
      <c r="GL28" s="96"/>
      <c r="GM28" s="96"/>
      <c r="GN28" s="96"/>
      <c r="GO28" s="96"/>
      <c r="GP28" s="96"/>
      <c r="GQ28" s="96"/>
      <c r="GR28" s="96"/>
      <c r="GS28" s="96"/>
      <c r="GT28" s="96"/>
      <c r="GU28" s="96"/>
      <c r="GV28" s="96"/>
      <c r="GW28" s="96"/>
      <c r="GX28" s="96"/>
      <c r="GY28" s="96"/>
      <c r="GZ28" s="96"/>
      <c r="HA28" s="96"/>
      <c r="HB28" s="96"/>
      <c r="HC28" s="96"/>
      <c r="HD28" s="96"/>
      <c r="HE28" s="96"/>
      <c r="HF28" s="96"/>
      <c r="HG28" s="96"/>
      <c r="HH28" s="96"/>
      <c r="HI28" s="96"/>
      <c r="HJ28" s="96"/>
      <c r="HK28" s="96"/>
      <c r="HL28" s="96"/>
      <c r="HM28" s="96"/>
      <c r="HN28" s="96"/>
      <c r="HO28" s="96"/>
      <c r="HP28" s="96"/>
      <c r="HQ28" s="96"/>
      <c r="HR28" s="96"/>
      <c r="HS28" s="96"/>
      <c r="HT28" s="96"/>
      <c r="HU28" s="96"/>
      <c r="HV28" s="96"/>
      <c r="HW28" s="96"/>
      <c r="HX28" s="96"/>
      <c r="HY28" s="96"/>
      <c r="HZ28" s="96"/>
      <c r="IA28" s="96"/>
      <c r="IB28" s="96"/>
      <c r="IC28" s="96"/>
      <c r="ID28" s="96"/>
      <c r="IE28" s="96"/>
      <c r="IF28" s="96"/>
      <c r="IG28" s="96"/>
      <c r="IH28" s="96"/>
      <c r="II28" s="96"/>
      <c r="IJ28" s="96"/>
      <c r="IK28" s="96"/>
      <c r="IL28" s="96"/>
      <c r="IM28" s="96"/>
      <c r="IN28" s="96"/>
      <c r="IO28" s="96"/>
      <c r="IP28" s="96"/>
      <c r="IQ28" s="96"/>
      <c r="IR28" s="96"/>
      <c r="IS28" s="96"/>
      <c r="IT28" s="96"/>
      <c r="IU28" s="96"/>
      <c r="IV28" s="96"/>
    </row>
    <row r="29" spans="1:256" s="224" customFormat="1" ht="16.5" customHeight="1" x14ac:dyDescent="0.2">
      <c r="A29" s="32" t="str">
        <f>'Common-size FS'!A39</f>
        <v>DIT liabilities–current</v>
      </c>
      <c r="B29" s="32">
        <f>'Common-size FS'!B39</f>
        <v>0</v>
      </c>
      <c r="C29" s="32">
        <f>'Common-size FS'!C39</f>
        <v>0</v>
      </c>
      <c r="D29" s="32">
        <f>'Common-size FS'!D39</f>
        <v>0</v>
      </c>
      <c r="E29" s="32">
        <f>'Common-size FS'!E39</f>
        <v>0</v>
      </c>
      <c r="F29" s="32">
        <f>'Common-size FS'!F39</f>
        <v>0</v>
      </c>
      <c r="G29" s="32">
        <f>'Common-size FS'!G39</f>
        <v>0</v>
      </c>
      <c r="H29" s="718"/>
      <c r="I29" s="718"/>
      <c r="J29" s="718"/>
      <c r="K29" s="718"/>
      <c r="L29" s="718"/>
      <c r="M29" s="718"/>
      <c r="N29" s="718"/>
      <c r="O29" s="718"/>
      <c r="P29" s="718"/>
      <c r="Q29" s="718"/>
      <c r="R29" s="718"/>
      <c r="S29" s="718"/>
      <c r="T29" s="718"/>
      <c r="U29" s="718"/>
      <c r="V29" s="718"/>
      <c r="W29" s="718"/>
      <c r="X29" s="718"/>
      <c r="Y29" s="718"/>
      <c r="Z29" s="718"/>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c r="BM29" s="96"/>
      <c r="BN29" s="96"/>
      <c r="BO29" s="96"/>
      <c r="BP29" s="96"/>
      <c r="BQ29" s="96"/>
      <c r="BR29" s="96"/>
      <c r="BS29" s="96"/>
      <c r="BT29" s="96"/>
      <c r="BU29" s="96"/>
      <c r="BV29" s="96"/>
      <c r="BW29" s="96"/>
      <c r="BX29" s="96"/>
      <c r="BY29" s="96"/>
      <c r="BZ29" s="96"/>
      <c r="CA29" s="96"/>
      <c r="CB29" s="96"/>
      <c r="CC29" s="96"/>
      <c r="CD29" s="96"/>
      <c r="CE29" s="96"/>
      <c r="CF29" s="96"/>
      <c r="CG29" s="96"/>
      <c r="CH29" s="96"/>
      <c r="CI29" s="96"/>
      <c r="CJ29" s="96"/>
      <c r="CK29" s="96"/>
      <c r="CL29" s="96"/>
      <c r="CM29" s="96"/>
      <c r="CN29" s="96"/>
      <c r="CO29" s="96"/>
      <c r="CP29" s="96"/>
      <c r="CQ29" s="96"/>
      <c r="CR29" s="96"/>
      <c r="CS29" s="96"/>
      <c r="CT29" s="96"/>
      <c r="CU29" s="96"/>
      <c r="CV29" s="96"/>
      <c r="CW29" s="96"/>
      <c r="CX29" s="96"/>
      <c r="CY29" s="96"/>
      <c r="CZ29" s="96"/>
      <c r="DA29" s="96"/>
      <c r="DB29" s="96"/>
      <c r="DC29" s="96"/>
      <c r="DD29" s="96"/>
      <c r="DE29" s="96"/>
      <c r="DF29" s="96"/>
      <c r="DG29" s="96"/>
      <c r="DH29" s="96"/>
      <c r="DI29" s="96"/>
      <c r="DJ29" s="96"/>
      <c r="DK29" s="96"/>
      <c r="DL29" s="96"/>
      <c r="DM29" s="96"/>
      <c r="DN29" s="96"/>
      <c r="DO29" s="96"/>
      <c r="DP29" s="96"/>
      <c r="DQ29" s="96"/>
      <c r="DR29" s="96"/>
      <c r="DS29" s="96"/>
      <c r="DT29" s="96"/>
      <c r="DU29" s="96"/>
      <c r="DV29" s="96"/>
      <c r="DW29" s="96"/>
      <c r="DX29" s="96"/>
      <c r="DY29" s="96"/>
      <c r="DZ29" s="96"/>
      <c r="EA29" s="96"/>
      <c r="EB29" s="96"/>
      <c r="EC29" s="96"/>
      <c r="ED29" s="96"/>
      <c r="EE29" s="96"/>
      <c r="EF29" s="96"/>
      <c r="EG29" s="96"/>
      <c r="EH29" s="96"/>
      <c r="EI29" s="96"/>
      <c r="EJ29" s="96"/>
      <c r="EK29" s="96"/>
      <c r="EL29" s="96"/>
      <c r="EM29" s="96"/>
      <c r="EN29" s="96"/>
      <c r="EO29" s="96"/>
      <c r="EP29" s="96"/>
      <c r="EQ29" s="96"/>
      <c r="ER29" s="96"/>
      <c r="ES29" s="96"/>
      <c r="ET29" s="96"/>
      <c r="EU29" s="96"/>
      <c r="EV29" s="96"/>
      <c r="EW29" s="96"/>
      <c r="EX29" s="96"/>
      <c r="EY29" s="96"/>
      <c r="EZ29" s="96"/>
      <c r="FA29" s="96"/>
      <c r="FB29" s="96"/>
      <c r="FC29" s="96"/>
      <c r="FD29" s="96"/>
      <c r="FE29" s="96"/>
      <c r="FF29" s="96"/>
      <c r="FG29" s="96"/>
      <c r="FH29" s="96"/>
      <c r="FI29" s="96"/>
      <c r="FJ29" s="96"/>
      <c r="FK29" s="96"/>
      <c r="FL29" s="96"/>
      <c r="FM29" s="96"/>
      <c r="FN29" s="96"/>
      <c r="FO29" s="96"/>
      <c r="FP29" s="96"/>
      <c r="FQ29" s="96"/>
      <c r="FR29" s="96"/>
      <c r="FS29" s="96"/>
      <c r="FT29" s="96"/>
      <c r="FU29" s="96"/>
      <c r="FV29" s="96"/>
      <c r="FW29" s="96"/>
      <c r="FX29" s="96"/>
      <c r="FY29" s="96"/>
      <c r="FZ29" s="96"/>
      <c r="GA29" s="96"/>
      <c r="GB29" s="96"/>
      <c r="GC29" s="96"/>
      <c r="GD29" s="96"/>
      <c r="GE29" s="96"/>
      <c r="GF29" s="96"/>
      <c r="GG29" s="96"/>
      <c r="GH29" s="96"/>
      <c r="GI29" s="96"/>
      <c r="GJ29" s="96"/>
      <c r="GK29" s="96"/>
      <c r="GL29" s="96"/>
      <c r="GM29" s="96"/>
      <c r="GN29" s="96"/>
      <c r="GO29" s="96"/>
      <c r="GP29" s="96"/>
      <c r="GQ29" s="96"/>
      <c r="GR29" s="96"/>
      <c r="GS29" s="96"/>
      <c r="GT29" s="96"/>
      <c r="GU29" s="96"/>
      <c r="GV29" s="96"/>
      <c r="GW29" s="96"/>
      <c r="GX29" s="96"/>
      <c r="GY29" s="96"/>
      <c r="GZ29" s="96"/>
      <c r="HA29" s="96"/>
      <c r="HB29" s="96"/>
      <c r="HC29" s="96"/>
      <c r="HD29" s="96"/>
      <c r="HE29" s="96"/>
      <c r="HF29" s="96"/>
      <c r="HG29" s="96"/>
      <c r="HH29" s="96"/>
      <c r="HI29" s="96"/>
      <c r="HJ29" s="96"/>
      <c r="HK29" s="96"/>
      <c r="HL29" s="96"/>
      <c r="HM29" s="96"/>
      <c r="HN29" s="96"/>
      <c r="HO29" s="96"/>
      <c r="HP29" s="96"/>
      <c r="HQ29" s="96"/>
      <c r="HR29" s="96"/>
      <c r="HS29" s="96"/>
      <c r="HT29" s="96"/>
      <c r="HU29" s="96"/>
      <c r="HV29" s="96"/>
      <c r="HW29" s="96"/>
      <c r="HX29" s="96"/>
      <c r="HY29" s="96"/>
      <c r="HZ29" s="96"/>
      <c r="IA29" s="96"/>
      <c r="IB29" s="96"/>
      <c r="IC29" s="96"/>
      <c r="ID29" s="96"/>
      <c r="IE29" s="96"/>
      <c r="IF29" s="96"/>
      <c r="IG29" s="96"/>
      <c r="IH29" s="96"/>
      <c r="II29" s="96"/>
      <c r="IJ29" s="96"/>
      <c r="IK29" s="96"/>
      <c r="IL29" s="96"/>
      <c r="IM29" s="96"/>
      <c r="IN29" s="96"/>
      <c r="IO29" s="96"/>
      <c r="IP29" s="96"/>
      <c r="IQ29" s="96"/>
      <c r="IR29" s="96"/>
      <c r="IS29" s="96"/>
      <c r="IT29" s="96"/>
      <c r="IU29" s="96"/>
      <c r="IV29" s="96"/>
    </row>
    <row r="30" spans="1:256" s="224" customFormat="1" ht="16.5" customHeight="1" x14ac:dyDescent="0.2">
      <c r="A30" s="32" t="str">
        <f>'Common-size FS'!A43</f>
        <v>Other current liabilities</v>
      </c>
      <c r="B30" s="32">
        <f>'Common-size FS'!B43</f>
        <v>652</v>
      </c>
      <c r="C30" s="32">
        <f>'Common-size FS'!C43</f>
        <v>764</v>
      </c>
      <c r="D30" s="32">
        <f>'Common-size FS'!D43</f>
        <v>804</v>
      </c>
      <c r="E30" s="32">
        <f>'Common-size FS'!E43</f>
        <v>876</v>
      </c>
      <c r="F30" s="32">
        <f>'Common-size FS'!F43</f>
        <v>1048</v>
      </c>
      <c r="G30" s="32">
        <f>'Common-size FS'!G43</f>
        <v>1161</v>
      </c>
      <c r="H30" s="718"/>
      <c r="I30" s="718"/>
      <c r="J30" s="718"/>
      <c r="K30" s="718"/>
      <c r="L30" s="718"/>
      <c r="M30" s="718"/>
      <c r="N30" s="718"/>
      <c r="O30" s="718"/>
      <c r="P30" s="718"/>
      <c r="Q30" s="718"/>
      <c r="R30" s="718"/>
      <c r="S30" s="718"/>
      <c r="T30" s="718"/>
      <c r="U30" s="718"/>
      <c r="V30" s="718"/>
      <c r="W30" s="718"/>
      <c r="X30" s="718"/>
      <c r="Y30" s="718"/>
      <c r="Z30" s="718"/>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96"/>
      <c r="CJ30" s="96"/>
      <c r="CK30" s="96"/>
      <c r="CL30" s="96"/>
      <c r="CM30" s="96"/>
      <c r="CN30" s="96"/>
      <c r="CO30" s="96"/>
      <c r="CP30" s="96"/>
      <c r="CQ30" s="96"/>
      <c r="CR30" s="96"/>
      <c r="CS30" s="96"/>
      <c r="CT30" s="96"/>
      <c r="CU30" s="96"/>
      <c r="CV30" s="96"/>
      <c r="CW30" s="96"/>
      <c r="CX30" s="96"/>
      <c r="CY30" s="96"/>
      <c r="CZ30" s="96"/>
      <c r="DA30" s="96"/>
      <c r="DB30" s="96"/>
      <c r="DC30" s="96"/>
      <c r="DD30" s="96"/>
      <c r="DE30" s="96"/>
      <c r="DF30" s="96"/>
      <c r="DG30" s="96"/>
      <c r="DH30" s="96"/>
      <c r="DI30" s="96"/>
      <c r="DJ30" s="96"/>
      <c r="DK30" s="96"/>
      <c r="DL30" s="96"/>
      <c r="DM30" s="96"/>
      <c r="DN30" s="96"/>
      <c r="DO30" s="96"/>
      <c r="DP30" s="96"/>
      <c r="DQ30" s="96"/>
      <c r="DR30" s="96"/>
      <c r="DS30" s="96"/>
      <c r="DT30" s="96"/>
      <c r="DU30" s="96"/>
      <c r="DV30" s="96"/>
      <c r="DW30" s="96"/>
      <c r="DX30" s="96"/>
      <c r="DY30" s="96"/>
      <c r="DZ30" s="96"/>
      <c r="EA30" s="96"/>
      <c r="EB30" s="96"/>
      <c r="EC30" s="96"/>
      <c r="ED30" s="96"/>
      <c r="EE30" s="96"/>
      <c r="EF30" s="96"/>
      <c r="EG30" s="96"/>
      <c r="EH30" s="96"/>
      <c r="EI30" s="96"/>
      <c r="EJ30" s="96"/>
      <c r="EK30" s="96"/>
      <c r="EL30" s="96"/>
      <c r="EM30" s="96"/>
      <c r="EN30" s="96"/>
      <c r="EO30" s="96"/>
      <c r="EP30" s="96"/>
      <c r="EQ30" s="96"/>
      <c r="ER30" s="96"/>
      <c r="ES30" s="96"/>
      <c r="ET30" s="96"/>
      <c r="EU30" s="96"/>
      <c r="EV30" s="96"/>
      <c r="EW30" s="96"/>
      <c r="EX30" s="96"/>
      <c r="EY30" s="96"/>
      <c r="EZ30" s="96"/>
      <c r="FA30" s="96"/>
      <c r="FB30" s="96"/>
      <c r="FC30" s="96"/>
      <c r="FD30" s="96"/>
      <c r="FE30" s="96"/>
      <c r="FF30" s="96"/>
      <c r="FG30" s="96"/>
      <c r="FH30" s="96"/>
      <c r="FI30" s="96"/>
      <c r="FJ30" s="96"/>
      <c r="FK30" s="96"/>
      <c r="FL30" s="96"/>
      <c r="FM30" s="96"/>
      <c r="FN30" s="96"/>
      <c r="FO30" s="96"/>
      <c r="FP30" s="96"/>
      <c r="FQ30" s="96"/>
      <c r="FR30" s="96"/>
      <c r="FS30" s="96"/>
      <c r="FT30" s="96"/>
      <c r="FU30" s="96"/>
      <c r="FV30" s="96"/>
      <c r="FW30" s="96"/>
      <c r="FX30" s="96"/>
      <c r="FY30" s="96"/>
      <c r="FZ30" s="96"/>
      <c r="GA30" s="96"/>
      <c r="GB30" s="96"/>
      <c r="GC30" s="96"/>
      <c r="GD30" s="96"/>
      <c r="GE30" s="96"/>
      <c r="GF30" s="96"/>
      <c r="GG30" s="96"/>
      <c r="GH30" s="96"/>
      <c r="GI30" s="96"/>
      <c r="GJ30" s="96"/>
      <c r="GK30" s="96"/>
      <c r="GL30" s="96"/>
      <c r="GM30" s="96"/>
      <c r="GN30" s="96"/>
      <c r="GO30" s="96"/>
      <c r="GP30" s="96"/>
      <c r="GQ30" s="96"/>
      <c r="GR30" s="96"/>
      <c r="GS30" s="96"/>
      <c r="GT30" s="96"/>
      <c r="GU30" s="96"/>
      <c r="GV30" s="96"/>
      <c r="GW30" s="96"/>
      <c r="GX30" s="96"/>
      <c r="GY30" s="96"/>
      <c r="GZ30" s="96"/>
      <c r="HA30" s="96"/>
      <c r="HB30" s="96"/>
      <c r="HC30" s="96"/>
      <c r="HD30" s="96"/>
      <c r="HE30" s="96"/>
      <c r="HF30" s="96"/>
      <c r="HG30" s="96"/>
      <c r="HH30" s="96"/>
      <c r="HI30" s="96"/>
      <c r="HJ30" s="96"/>
      <c r="HK30" s="96"/>
      <c r="HL30" s="96"/>
      <c r="HM30" s="96"/>
      <c r="HN30" s="96"/>
      <c r="HO30" s="96"/>
      <c r="HP30" s="96"/>
      <c r="HQ30" s="96"/>
      <c r="HR30" s="96"/>
      <c r="HS30" s="96"/>
      <c r="HT30" s="96"/>
      <c r="HU30" s="96"/>
      <c r="HV30" s="96"/>
      <c r="HW30" s="96"/>
      <c r="HX30" s="96"/>
      <c r="HY30" s="96"/>
      <c r="HZ30" s="96"/>
      <c r="IA30" s="96"/>
      <c r="IB30" s="96"/>
      <c r="IC30" s="96"/>
      <c r="ID30" s="96"/>
      <c r="IE30" s="96"/>
      <c r="IF30" s="96"/>
      <c r="IG30" s="96"/>
      <c r="IH30" s="96"/>
      <c r="II30" s="96"/>
      <c r="IJ30" s="96"/>
      <c r="IK30" s="96"/>
      <c r="IL30" s="96"/>
      <c r="IM30" s="96"/>
      <c r="IN30" s="96"/>
      <c r="IO30" s="96"/>
      <c r="IP30" s="96"/>
      <c r="IQ30" s="96"/>
      <c r="IR30" s="96"/>
      <c r="IS30" s="96"/>
      <c r="IT30" s="96"/>
      <c r="IU30" s="96"/>
      <c r="IV30" s="96"/>
    </row>
    <row r="31" spans="1:256" s="532" customFormat="1" ht="16.5" customHeight="1" x14ac:dyDescent="0.2">
      <c r="A31" s="75" t="str">
        <f>'Common-size FS'!A48</f>
        <v>DIT liabilities–noncurrent</v>
      </c>
      <c r="B31" s="75">
        <f>'Common-size FS'!B48</f>
        <v>495</v>
      </c>
      <c r="C31" s="75">
        <f>'Common-size FS'!C48</f>
        <v>500</v>
      </c>
      <c r="D31" s="75">
        <f>'Common-size FS'!D48</f>
        <v>485</v>
      </c>
      <c r="E31" s="75">
        <f>'Common-size FS'!E48</f>
        <v>498</v>
      </c>
      <c r="F31" s="75">
        <f>'Common-size FS'!F48</f>
        <v>510</v>
      </c>
      <c r="G31" s="75">
        <f>'Common-size FS'!G48</f>
        <v>540</v>
      </c>
      <c r="H31" s="725"/>
      <c r="I31" s="725"/>
      <c r="J31" s="725"/>
      <c r="K31" s="725"/>
      <c r="L31" s="725"/>
      <c r="M31" s="725"/>
      <c r="N31" s="725"/>
      <c r="O31" s="725"/>
      <c r="P31" s="725"/>
      <c r="Q31" s="725"/>
      <c r="R31" s="725"/>
      <c r="S31" s="725"/>
      <c r="T31" s="725"/>
      <c r="U31" s="725"/>
      <c r="V31" s="725"/>
      <c r="W31" s="725"/>
      <c r="X31" s="725"/>
      <c r="Y31" s="725"/>
      <c r="Z31" s="725"/>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c r="BE31" s="149"/>
      <c r="BF31" s="149"/>
      <c r="BG31" s="149"/>
      <c r="BH31" s="149"/>
      <c r="BI31" s="149"/>
      <c r="BJ31" s="149"/>
      <c r="BK31" s="149"/>
      <c r="BL31" s="149"/>
      <c r="BM31" s="149"/>
      <c r="BN31" s="149"/>
      <c r="BO31" s="149"/>
      <c r="BP31" s="149"/>
      <c r="BQ31" s="149"/>
      <c r="BR31" s="149"/>
      <c r="BS31" s="149"/>
      <c r="BT31" s="149"/>
      <c r="BU31" s="149"/>
      <c r="BV31" s="149"/>
      <c r="BW31" s="149"/>
      <c r="BX31" s="149"/>
      <c r="BY31" s="149"/>
      <c r="BZ31" s="149"/>
      <c r="CA31" s="149"/>
      <c r="CB31" s="149"/>
      <c r="CC31" s="149"/>
      <c r="CD31" s="149"/>
      <c r="CE31" s="149"/>
      <c r="CF31" s="149"/>
      <c r="CG31" s="149"/>
      <c r="CH31" s="149"/>
      <c r="CI31" s="149"/>
      <c r="CJ31" s="149"/>
      <c r="CK31" s="149"/>
      <c r="CL31" s="149"/>
      <c r="CM31" s="149"/>
      <c r="CN31" s="149"/>
      <c r="CO31" s="149"/>
      <c r="CP31" s="149"/>
      <c r="CQ31" s="149"/>
      <c r="CR31" s="149"/>
      <c r="CS31" s="149"/>
      <c r="CT31" s="149"/>
      <c r="CU31" s="149"/>
      <c r="CV31" s="149"/>
      <c r="CW31" s="149"/>
      <c r="CX31" s="149"/>
      <c r="CY31" s="149"/>
      <c r="CZ31" s="149"/>
      <c r="DA31" s="149"/>
      <c r="DB31" s="149"/>
      <c r="DC31" s="149"/>
      <c r="DD31" s="149"/>
      <c r="DE31" s="149"/>
      <c r="DF31" s="149"/>
      <c r="DG31" s="149"/>
      <c r="DH31" s="149"/>
      <c r="DI31" s="149"/>
      <c r="DJ31" s="149"/>
      <c r="DK31" s="149"/>
      <c r="DL31" s="149"/>
      <c r="DM31" s="149"/>
      <c r="DN31" s="149"/>
      <c r="DO31" s="149"/>
      <c r="DP31" s="149"/>
      <c r="DQ31" s="149"/>
      <c r="DR31" s="149"/>
      <c r="DS31" s="149"/>
      <c r="DT31" s="149"/>
      <c r="DU31" s="149"/>
      <c r="DV31" s="149"/>
      <c r="DW31" s="149"/>
      <c r="DX31" s="149"/>
      <c r="DY31" s="149"/>
      <c r="DZ31" s="149"/>
      <c r="EA31" s="149"/>
      <c r="EB31" s="149"/>
      <c r="EC31" s="149"/>
      <c r="ED31" s="149"/>
      <c r="EE31" s="149"/>
      <c r="EF31" s="149"/>
      <c r="EG31" s="149"/>
      <c r="EH31" s="149"/>
      <c r="EI31" s="149"/>
      <c r="EJ31" s="149"/>
      <c r="EK31" s="149"/>
      <c r="EL31" s="149"/>
      <c r="EM31" s="149"/>
      <c r="EN31" s="149"/>
      <c r="EO31" s="149"/>
      <c r="EP31" s="149"/>
      <c r="EQ31" s="149"/>
      <c r="ER31" s="149"/>
      <c r="ES31" s="149"/>
      <c r="ET31" s="149"/>
      <c r="EU31" s="149"/>
      <c r="EV31" s="149"/>
      <c r="EW31" s="149"/>
      <c r="EX31" s="149"/>
      <c r="EY31" s="149"/>
      <c r="EZ31" s="149"/>
      <c r="FA31" s="149"/>
      <c r="FB31" s="149"/>
      <c r="FC31" s="149"/>
      <c r="FD31" s="149"/>
      <c r="FE31" s="149"/>
      <c r="FF31" s="149"/>
      <c r="FG31" s="149"/>
      <c r="FH31" s="149"/>
      <c r="FI31" s="149"/>
      <c r="FJ31" s="149"/>
      <c r="FK31" s="149"/>
      <c r="FL31" s="149"/>
      <c r="FM31" s="149"/>
      <c r="FN31" s="149"/>
      <c r="FO31" s="149"/>
      <c r="FP31" s="149"/>
      <c r="FQ31" s="149"/>
      <c r="FR31" s="149"/>
      <c r="FS31" s="149"/>
      <c r="FT31" s="149"/>
      <c r="FU31" s="149"/>
      <c r="FV31" s="149"/>
      <c r="FW31" s="149"/>
      <c r="FX31" s="149"/>
      <c r="FY31" s="149"/>
      <c r="FZ31" s="149"/>
      <c r="GA31" s="149"/>
      <c r="GB31" s="149"/>
      <c r="GC31" s="149"/>
      <c r="GD31" s="149"/>
      <c r="GE31" s="149"/>
      <c r="GF31" s="149"/>
      <c r="GG31" s="149"/>
      <c r="GH31" s="149"/>
      <c r="GI31" s="149"/>
      <c r="GJ31" s="149"/>
      <c r="GK31" s="149"/>
      <c r="GL31" s="149"/>
      <c r="GM31" s="149"/>
      <c r="GN31" s="149"/>
      <c r="GO31" s="149"/>
      <c r="GP31" s="149"/>
      <c r="GQ31" s="149"/>
      <c r="GR31" s="149"/>
      <c r="GS31" s="149"/>
      <c r="GT31" s="149"/>
      <c r="GU31" s="149"/>
      <c r="GV31" s="149"/>
      <c r="GW31" s="149"/>
      <c r="GX31" s="149"/>
      <c r="GY31" s="149"/>
      <c r="GZ31" s="149"/>
      <c r="HA31" s="149"/>
      <c r="HB31" s="149"/>
      <c r="HC31" s="149"/>
      <c r="HD31" s="149"/>
      <c r="HE31" s="149"/>
      <c r="HF31" s="149"/>
      <c r="HG31" s="149"/>
      <c r="HH31" s="149"/>
      <c r="HI31" s="149"/>
      <c r="HJ31" s="149"/>
      <c r="HK31" s="149"/>
      <c r="HL31" s="149"/>
      <c r="HM31" s="149"/>
      <c r="HN31" s="149"/>
      <c r="HO31" s="149"/>
      <c r="HP31" s="149"/>
      <c r="HQ31" s="149"/>
      <c r="HR31" s="149"/>
      <c r="HS31" s="149"/>
      <c r="HT31" s="149"/>
      <c r="HU31" s="149"/>
      <c r="HV31" s="149"/>
      <c r="HW31" s="149"/>
      <c r="HX31" s="149"/>
      <c r="HY31" s="149"/>
      <c r="HZ31" s="149"/>
      <c r="IA31" s="149"/>
      <c r="IB31" s="149"/>
      <c r="IC31" s="149"/>
      <c r="ID31" s="149"/>
      <c r="IE31" s="149"/>
      <c r="IF31" s="149"/>
      <c r="IG31" s="149"/>
      <c r="IH31" s="149"/>
      <c r="II31" s="149"/>
      <c r="IJ31" s="149"/>
      <c r="IK31" s="149"/>
      <c r="IL31" s="149"/>
      <c r="IM31" s="149"/>
      <c r="IN31" s="149"/>
      <c r="IO31" s="149"/>
      <c r="IP31" s="149"/>
      <c r="IQ31" s="149"/>
      <c r="IR31" s="149"/>
      <c r="IS31" s="149"/>
      <c r="IT31" s="149"/>
      <c r="IU31" s="149"/>
      <c r="IV31" s="149"/>
    </row>
    <row r="32" spans="1:256" s="493" customFormat="1" ht="16.5" customHeight="1" x14ac:dyDescent="0.2">
      <c r="A32" s="71" t="str">
        <f>'Common-size FS'!A49</f>
        <v>Other noncurrent liabilities</v>
      </c>
      <c r="B32" s="71">
        <f>'Common-size FS'!B49</f>
        <v>292</v>
      </c>
      <c r="C32" s="71">
        <f>'Common-size FS'!C49</f>
        <v>489</v>
      </c>
      <c r="D32" s="71">
        <f>'Common-size FS'!D49</f>
        <v>813</v>
      </c>
      <c r="E32" s="71">
        <f>'Common-size FS'!E49</f>
        <v>1024</v>
      </c>
      <c r="F32" s="71">
        <f>'Common-size FS'!F49</f>
        <v>655</v>
      </c>
      <c r="G32" s="71">
        <f>'Common-size FS'!G49</f>
        <v>900</v>
      </c>
      <c r="H32" s="724"/>
      <c r="I32" s="724"/>
      <c r="J32" s="724"/>
      <c r="K32" s="724"/>
      <c r="L32" s="724"/>
      <c r="M32" s="724"/>
      <c r="N32" s="724"/>
      <c r="O32" s="724"/>
      <c r="P32" s="724"/>
      <c r="Q32" s="724"/>
      <c r="R32" s="724"/>
      <c r="S32" s="724"/>
      <c r="T32" s="724"/>
      <c r="U32" s="724"/>
      <c r="V32" s="724"/>
      <c r="W32" s="724"/>
      <c r="X32" s="724"/>
      <c r="Y32" s="724"/>
      <c r="Z32" s="724"/>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S32" s="227"/>
      <c r="BT32" s="227"/>
      <c r="BU32" s="227"/>
      <c r="BV32" s="227"/>
      <c r="BW32" s="227"/>
      <c r="BX32" s="227"/>
      <c r="BY32" s="227"/>
      <c r="BZ32" s="227"/>
      <c r="CA32" s="227"/>
      <c r="CB32" s="227"/>
      <c r="CC32" s="227"/>
      <c r="CD32" s="227"/>
      <c r="CE32" s="227"/>
      <c r="CF32" s="227"/>
      <c r="CG32" s="227"/>
      <c r="CH32" s="227"/>
      <c r="CI32" s="227"/>
      <c r="CJ32" s="227"/>
      <c r="CK32" s="227"/>
      <c r="CL32" s="227"/>
      <c r="CM32" s="227"/>
      <c r="CN32" s="227"/>
      <c r="CO32" s="227"/>
      <c r="CP32" s="227"/>
      <c r="CQ32" s="227"/>
      <c r="CR32" s="227"/>
      <c r="CS32" s="227"/>
      <c r="CT32" s="227"/>
      <c r="CU32" s="227"/>
      <c r="CV32" s="227"/>
      <c r="CW32" s="227"/>
      <c r="CX32" s="227"/>
      <c r="CY32" s="227"/>
      <c r="CZ32" s="227"/>
      <c r="DA32" s="227"/>
      <c r="DB32" s="227"/>
      <c r="DC32" s="227"/>
      <c r="DD32" s="227"/>
      <c r="DE32" s="227"/>
      <c r="DF32" s="227"/>
      <c r="DG32" s="227"/>
      <c r="DH32" s="227"/>
      <c r="DI32" s="227"/>
      <c r="DJ32" s="227"/>
      <c r="DK32" s="227"/>
      <c r="DL32" s="227"/>
      <c r="DM32" s="227"/>
      <c r="DN32" s="227"/>
      <c r="DO32" s="227"/>
      <c r="DP32" s="227"/>
      <c r="DQ32" s="227"/>
      <c r="DR32" s="227"/>
      <c r="DS32" s="227"/>
      <c r="DT32" s="227"/>
      <c r="DU32" s="227"/>
      <c r="DV32" s="227"/>
      <c r="DW32" s="227"/>
      <c r="DX32" s="227"/>
      <c r="DY32" s="227"/>
      <c r="DZ32" s="227"/>
      <c r="EA32" s="227"/>
      <c r="EB32" s="227"/>
      <c r="EC32" s="227"/>
      <c r="ED32" s="227"/>
      <c r="EE32" s="227"/>
      <c r="EF32" s="227"/>
      <c r="EG32" s="227"/>
      <c r="EH32" s="227"/>
      <c r="EI32" s="227"/>
      <c r="EJ32" s="227"/>
      <c r="EK32" s="227"/>
      <c r="EL32" s="227"/>
      <c r="EM32" s="227"/>
      <c r="EN32" s="227"/>
      <c r="EO32" s="227"/>
      <c r="EP32" s="227"/>
      <c r="EQ32" s="227"/>
      <c r="ER32" s="227"/>
      <c r="ES32" s="227"/>
      <c r="ET32" s="227"/>
      <c r="EU32" s="227"/>
      <c r="EV32" s="227"/>
      <c r="EW32" s="227"/>
      <c r="EX32" s="227"/>
      <c r="EY32" s="227"/>
      <c r="EZ32" s="227"/>
      <c r="FA32" s="227"/>
      <c r="FB32" s="227"/>
      <c r="FC32" s="227"/>
      <c r="FD32" s="227"/>
      <c r="FE32" s="227"/>
      <c r="FF32" s="227"/>
      <c r="FG32" s="227"/>
      <c r="FH32" s="227"/>
      <c r="FI32" s="227"/>
      <c r="FJ32" s="227"/>
      <c r="FK32" s="227"/>
      <c r="FL32" s="227"/>
      <c r="FM32" s="227"/>
      <c r="FN32" s="227"/>
      <c r="FO32" s="227"/>
      <c r="FP32" s="227"/>
      <c r="FQ32" s="227"/>
      <c r="FR32" s="227"/>
      <c r="FS32" s="227"/>
      <c r="FT32" s="227"/>
      <c r="FU32" s="227"/>
      <c r="FV32" s="227"/>
      <c r="FW32" s="227"/>
      <c r="FX32" s="227"/>
      <c r="FY32" s="227"/>
      <c r="FZ32" s="227"/>
      <c r="GA32" s="227"/>
      <c r="GB32" s="227"/>
      <c r="GC32" s="227"/>
      <c r="GD32" s="227"/>
      <c r="GE32" s="227"/>
      <c r="GF32" s="227"/>
      <c r="GG32" s="227"/>
      <c r="GH32" s="227"/>
      <c r="GI32" s="227"/>
      <c r="GJ32" s="227"/>
      <c r="GK32" s="227"/>
      <c r="GL32" s="227"/>
      <c r="GM32" s="227"/>
      <c r="GN32" s="227"/>
      <c r="GO32" s="227"/>
      <c r="GP32" s="227"/>
      <c r="GQ32" s="227"/>
      <c r="GR32" s="227"/>
      <c r="GS32" s="227"/>
      <c r="GT32" s="227"/>
      <c r="GU32" s="227"/>
      <c r="GV32" s="227"/>
      <c r="GW32" s="227"/>
      <c r="GX32" s="227"/>
      <c r="GY32" s="227"/>
      <c r="GZ32" s="227"/>
      <c r="HA32" s="227"/>
      <c r="HB32" s="227"/>
      <c r="HC32" s="227"/>
      <c r="HD32" s="227"/>
      <c r="HE32" s="227"/>
      <c r="HF32" s="227"/>
      <c r="HG32" s="227"/>
      <c r="HH32" s="227"/>
      <c r="HI32" s="227"/>
      <c r="HJ32" s="227"/>
      <c r="HK32" s="227"/>
      <c r="HL32" s="227"/>
      <c r="HM32" s="227"/>
      <c r="HN32" s="227"/>
      <c r="HO32" s="227"/>
      <c r="HP32" s="227"/>
      <c r="HQ32" s="227"/>
      <c r="HR32" s="227"/>
      <c r="HS32" s="227"/>
      <c r="HT32" s="227"/>
      <c r="HU32" s="227"/>
      <c r="HV32" s="227"/>
      <c r="HW32" s="227"/>
      <c r="HX32" s="227"/>
      <c r="HY32" s="227"/>
      <c r="HZ32" s="227"/>
      <c r="IA32" s="227"/>
      <c r="IB32" s="227"/>
      <c r="IC32" s="227"/>
      <c r="ID32" s="227"/>
      <c r="IE32" s="227"/>
      <c r="IF32" s="227"/>
      <c r="IG32" s="227"/>
      <c r="IH32" s="227"/>
      <c r="II32" s="227"/>
      <c r="IJ32" s="227"/>
      <c r="IK32" s="227"/>
      <c r="IL32" s="227"/>
      <c r="IM32" s="227"/>
      <c r="IN32" s="227"/>
      <c r="IO32" s="227"/>
      <c r="IP32" s="227"/>
      <c r="IQ32" s="227"/>
      <c r="IR32" s="227"/>
      <c r="IS32" s="227"/>
      <c r="IT32" s="227"/>
      <c r="IU32" s="227"/>
      <c r="IV32" s="227"/>
    </row>
    <row r="33" spans="1:256" s="534" customFormat="1" ht="16.5" customHeight="1" x14ac:dyDescent="0.2">
      <c r="A33" s="73" t="s">
        <v>150</v>
      </c>
      <c r="B33" s="256">
        <f t="shared" ref="B33:G33" si="1">SUM(B26:B32)</f>
        <v>2660</v>
      </c>
      <c r="C33" s="256">
        <f t="shared" si="1"/>
        <v>4331</v>
      </c>
      <c r="D33" s="256">
        <f t="shared" si="1"/>
        <v>4946</v>
      </c>
      <c r="E33" s="256">
        <f t="shared" si="1"/>
        <v>5506</v>
      </c>
      <c r="F33" s="256">
        <f t="shared" si="1"/>
        <v>5766</v>
      </c>
      <c r="G33" s="256">
        <f t="shared" si="1"/>
        <v>6032</v>
      </c>
      <c r="H33" s="729"/>
      <c r="I33" s="729"/>
      <c r="J33" s="729"/>
      <c r="K33" s="729"/>
      <c r="L33" s="729"/>
      <c r="M33" s="729"/>
      <c r="N33" s="729"/>
      <c r="O33" s="729"/>
      <c r="P33" s="729"/>
      <c r="Q33" s="729"/>
      <c r="R33" s="729"/>
      <c r="S33" s="729"/>
      <c r="T33" s="729"/>
      <c r="U33" s="729"/>
      <c r="V33" s="729"/>
      <c r="W33" s="729"/>
      <c r="X33" s="729"/>
      <c r="Y33" s="729"/>
      <c r="Z33" s="729"/>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6"/>
      <c r="BP33" s="166"/>
      <c r="BQ33" s="166"/>
      <c r="BR33" s="166"/>
      <c r="BS33" s="166"/>
      <c r="BT33" s="166"/>
      <c r="BU33" s="166"/>
      <c r="BV33" s="166"/>
      <c r="BW33" s="166"/>
      <c r="BX33" s="166"/>
      <c r="BY33" s="166"/>
      <c r="BZ33" s="166"/>
      <c r="CA33" s="166"/>
      <c r="CB33" s="166"/>
      <c r="CC33" s="166"/>
      <c r="CD33" s="166"/>
      <c r="CE33" s="166"/>
      <c r="CF33" s="166"/>
      <c r="CG33" s="166"/>
      <c r="CH33" s="166"/>
      <c r="CI33" s="166"/>
      <c r="CJ33" s="166"/>
      <c r="CK33" s="166"/>
      <c r="CL33" s="166"/>
      <c r="CM33" s="166"/>
      <c r="CN33" s="166"/>
      <c r="CO33" s="166"/>
      <c r="CP33" s="166"/>
      <c r="CQ33" s="166"/>
      <c r="CR33" s="166"/>
      <c r="CS33" s="166"/>
      <c r="CT33" s="166"/>
      <c r="CU33" s="166"/>
      <c r="CV33" s="166"/>
      <c r="CW33" s="166"/>
      <c r="CX33" s="166"/>
      <c r="CY33" s="166"/>
      <c r="CZ33" s="166"/>
      <c r="DA33" s="166"/>
      <c r="DB33" s="166"/>
      <c r="DC33" s="166"/>
      <c r="DD33" s="166"/>
      <c r="DE33" s="166"/>
      <c r="DF33" s="166"/>
      <c r="DG33" s="166"/>
      <c r="DH33" s="166"/>
      <c r="DI33" s="166"/>
      <c r="DJ33" s="166"/>
      <c r="DK33" s="166"/>
      <c r="DL33" s="166"/>
      <c r="DM33" s="166"/>
      <c r="DN33" s="166"/>
      <c r="DO33" s="166"/>
      <c r="DP33" s="166"/>
      <c r="DQ33" s="166"/>
      <c r="DR33" s="166"/>
      <c r="DS33" s="166"/>
      <c r="DT33" s="166"/>
      <c r="DU33" s="166"/>
      <c r="DV33" s="166"/>
      <c r="DW33" s="166"/>
      <c r="DX33" s="166"/>
      <c r="DY33" s="166"/>
      <c r="DZ33" s="166"/>
      <c r="EA33" s="166"/>
      <c r="EB33" s="166"/>
      <c r="EC33" s="166"/>
      <c r="ED33" s="166"/>
      <c r="EE33" s="166"/>
      <c r="EF33" s="166"/>
      <c r="EG33" s="166"/>
      <c r="EH33" s="166"/>
      <c r="EI33" s="166"/>
      <c r="EJ33" s="166"/>
      <c r="EK33" s="166"/>
      <c r="EL33" s="166"/>
      <c r="EM33" s="166"/>
      <c r="EN33" s="166"/>
      <c r="EO33" s="166"/>
      <c r="EP33" s="166"/>
      <c r="EQ33" s="166"/>
      <c r="ER33" s="166"/>
      <c r="ES33" s="166"/>
      <c r="ET33" s="166"/>
      <c r="EU33" s="166"/>
      <c r="EV33" s="166"/>
      <c r="EW33" s="166"/>
      <c r="EX33" s="166"/>
      <c r="EY33" s="166"/>
      <c r="EZ33" s="166"/>
      <c r="FA33" s="166"/>
      <c r="FB33" s="166"/>
      <c r="FC33" s="166"/>
      <c r="FD33" s="166"/>
      <c r="FE33" s="166"/>
      <c r="FF33" s="166"/>
      <c r="FG33" s="166"/>
      <c r="FH33" s="166"/>
      <c r="FI33" s="166"/>
      <c r="FJ33" s="166"/>
      <c r="FK33" s="166"/>
      <c r="FL33" s="166"/>
      <c r="FM33" s="166"/>
      <c r="FN33" s="166"/>
      <c r="FO33" s="166"/>
      <c r="FP33" s="166"/>
      <c r="FQ33" s="166"/>
      <c r="FR33" s="166"/>
      <c r="FS33" s="166"/>
      <c r="FT33" s="166"/>
      <c r="FU33" s="166"/>
      <c r="FV33" s="166"/>
      <c r="FW33" s="166"/>
      <c r="FX33" s="166"/>
      <c r="FY33" s="166"/>
      <c r="FZ33" s="166"/>
      <c r="GA33" s="166"/>
      <c r="GB33" s="166"/>
      <c r="GC33" s="166"/>
      <c r="GD33" s="166"/>
      <c r="GE33" s="166"/>
      <c r="GF33" s="166"/>
      <c r="GG33" s="166"/>
      <c r="GH33" s="166"/>
      <c r="GI33" s="166"/>
      <c r="GJ33" s="166"/>
      <c r="GK33" s="166"/>
      <c r="GL33" s="166"/>
      <c r="GM33" s="166"/>
      <c r="GN33" s="166"/>
      <c r="GO33" s="166"/>
      <c r="GP33" s="166"/>
      <c r="GQ33" s="166"/>
      <c r="GR33" s="166"/>
      <c r="GS33" s="166"/>
      <c r="GT33" s="166"/>
      <c r="GU33" s="166"/>
      <c r="GV33" s="166"/>
      <c r="GW33" s="166"/>
      <c r="GX33" s="166"/>
      <c r="GY33" s="166"/>
      <c r="GZ33" s="166"/>
      <c r="HA33" s="166"/>
      <c r="HB33" s="166"/>
      <c r="HC33" s="166"/>
      <c r="HD33" s="166"/>
      <c r="HE33" s="166"/>
      <c r="HF33" s="166"/>
      <c r="HG33" s="166"/>
      <c r="HH33" s="166"/>
      <c r="HI33" s="166"/>
      <c r="HJ33" s="166"/>
      <c r="HK33" s="166"/>
      <c r="HL33" s="166"/>
      <c r="HM33" s="166"/>
      <c r="HN33" s="166"/>
      <c r="HO33" s="166"/>
      <c r="HP33" s="166"/>
      <c r="HQ33" s="166"/>
      <c r="HR33" s="166"/>
      <c r="HS33" s="166"/>
      <c r="HT33" s="166"/>
      <c r="HU33" s="166"/>
      <c r="HV33" s="166"/>
      <c r="HW33" s="166"/>
      <c r="HX33" s="166"/>
      <c r="HY33" s="166"/>
      <c r="HZ33" s="166"/>
      <c r="IA33" s="166"/>
      <c r="IB33" s="166"/>
      <c r="IC33" s="166"/>
      <c r="ID33" s="166"/>
      <c r="IE33" s="166"/>
      <c r="IF33" s="166"/>
      <c r="IG33" s="166"/>
      <c r="IH33" s="166"/>
      <c r="II33" s="166"/>
      <c r="IJ33" s="166"/>
      <c r="IK33" s="166"/>
      <c r="IL33" s="166"/>
      <c r="IM33" s="166"/>
      <c r="IN33" s="166"/>
      <c r="IO33" s="166"/>
      <c r="IP33" s="166"/>
      <c r="IQ33" s="166"/>
      <c r="IR33" s="166"/>
      <c r="IS33" s="166"/>
      <c r="IT33" s="166"/>
      <c r="IU33" s="166"/>
      <c r="IV33" s="166"/>
    </row>
    <row r="34" spans="1:256" s="535" customFormat="1" ht="16.5" customHeight="1" thickBot="1" x14ac:dyDescent="0.25">
      <c r="A34" s="105" t="s">
        <v>76</v>
      </c>
      <c r="B34" s="414">
        <f t="shared" ref="B34:G34" si="2">B24-B33</f>
        <v>4801.8999999999996</v>
      </c>
      <c r="C34" s="29">
        <f t="shared" si="2"/>
        <v>5911</v>
      </c>
      <c r="D34" s="29">
        <f t="shared" si="2"/>
        <v>5804</v>
      </c>
      <c r="E34" s="29">
        <f t="shared" si="2"/>
        <v>6640</v>
      </c>
      <c r="F34" s="29">
        <f t="shared" si="2"/>
        <v>7397</v>
      </c>
      <c r="G34" s="29">
        <f t="shared" si="2"/>
        <v>5886</v>
      </c>
      <c r="H34" s="727"/>
      <c r="I34" s="727"/>
      <c r="J34" s="727"/>
      <c r="K34" s="727"/>
      <c r="L34" s="727"/>
      <c r="M34" s="727"/>
      <c r="N34" s="727"/>
      <c r="O34" s="727"/>
      <c r="P34" s="727"/>
      <c r="Q34" s="727"/>
      <c r="R34" s="727"/>
      <c r="S34" s="727"/>
      <c r="T34" s="727"/>
      <c r="U34" s="727"/>
      <c r="V34" s="727"/>
      <c r="W34" s="727"/>
      <c r="X34" s="727"/>
      <c r="Y34" s="727"/>
      <c r="Z34" s="727"/>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c r="DU34" s="419"/>
      <c r="DV34" s="419"/>
      <c r="DW34" s="419"/>
      <c r="DX34" s="419"/>
      <c r="DY34" s="419"/>
      <c r="DZ34" s="419"/>
      <c r="EA34" s="419"/>
      <c r="EB34" s="419"/>
      <c r="EC34" s="419"/>
      <c r="ED34" s="419"/>
      <c r="EE34" s="419"/>
      <c r="EF34" s="419"/>
      <c r="EG34" s="419"/>
      <c r="EH34" s="419"/>
      <c r="EI34" s="419"/>
      <c r="EJ34" s="419"/>
      <c r="EK34" s="419"/>
      <c r="EL34" s="419"/>
      <c r="EM34" s="419"/>
      <c r="EN34" s="419"/>
      <c r="EO34" s="419"/>
      <c r="EP34" s="419"/>
      <c r="EQ34" s="419"/>
      <c r="ER34" s="419"/>
      <c r="ES34" s="419"/>
      <c r="ET34" s="419"/>
      <c r="EU34" s="419"/>
      <c r="EV34" s="419"/>
      <c r="EW34" s="419"/>
      <c r="EX34" s="419"/>
      <c r="EY34" s="419"/>
      <c r="EZ34" s="419"/>
      <c r="FA34" s="419"/>
      <c r="FB34" s="419"/>
      <c r="FC34" s="419"/>
      <c r="FD34" s="419"/>
      <c r="FE34" s="419"/>
      <c r="FF34" s="419"/>
      <c r="FG34" s="419"/>
      <c r="FH34" s="419"/>
      <c r="FI34" s="419"/>
      <c r="FJ34" s="419"/>
      <c r="FK34" s="419"/>
      <c r="FL34" s="419"/>
      <c r="FM34" s="419"/>
      <c r="FN34" s="419"/>
      <c r="FO34" s="419"/>
      <c r="FP34" s="419"/>
      <c r="FQ34" s="419"/>
      <c r="FR34" s="419"/>
      <c r="FS34" s="419"/>
      <c r="FT34" s="419"/>
      <c r="FU34" s="419"/>
      <c r="FV34" s="419"/>
      <c r="FW34" s="419"/>
      <c r="FX34" s="419"/>
      <c r="FY34" s="419"/>
      <c r="FZ34" s="419"/>
      <c r="GA34" s="419"/>
      <c r="GB34" s="419"/>
      <c r="GC34" s="419"/>
      <c r="GD34" s="419"/>
      <c r="GE34" s="419"/>
      <c r="GF34" s="419"/>
      <c r="GG34" s="419"/>
      <c r="GH34" s="419"/>
      <c r="GI34" s="419"/>
      <c r="GJ34" s="419"/>
      <c r="GK34" s="419"/>
      <c r="GL34" s="419"/>
      <c r="GM34" s="419"/>
      <c r="GN34" s="419"/>
      <c r="GO34" s="419"/>
      <c r="GP34" s="419"/>
      <c r="GQ34" s="419"/>
      <c r="GR34" s="419"/>
      <c r="GS34" s="419"/>
      <c r="GT34" s="419"/>
      <c r="GU34" s="419"/>
      <c r="GV34" s="419"/>
      <c r="GW34" s="419"/>
      <c r="GX34" s="419"/>
      <c r="GY34" s="419"/>
      <c r="GZ34" s="419"/>
      <c r="HA34" s="419"/>
      <c r="HB34" s="419"/>
      <c r="HC34" s="419"/>
      <c r="HD34" s="419"/>
      <c r="HE34" s="419"/>
      <c r="HF34" s="419"/>
      <c r="HG34" s="419"/>
      <c r="HH34" s="419"/>
      <c r="HI34" s="419"/>
      <c r="HJ34" s="419"/>
      <c r="HK34" s="419"/>
      <c r="HL34" s="419"/>
      <c r="HM34" s="419"/>
      <c r="HN34" s="419"/>
      <c r="HO34" s="419"/>
      <c r="HP34" s="419"/>
      <c r="HQ34" s="419"/>
      <c r="HR34" s="419"/>
      <c r="HS34" s="419"/>
      <c r="HT34" s="419"/>
      <c r="HU34" s="419"/>
      <c r="HV34" s="419"/>
      <c r="HW34" s="419"/>
      <c r="HX34" s="419"/>
      <c r="HY34" s="419"/>
      <c r="HZ34" s="419"/>
      <c r="IA34" s="419"/>
      <c r="IB34" s="419"/>
      <c r="IC34" s="419"/>
      <c r="ID34" s="419"/>
      <c r="IE34" s="419"/>
      <c r="IF34" s="419"/>
      <c r="IG34" s="419"/>
      <c r="IH34" s="419"/>
      <c r="II34" s="419"/>
      <c r="IJ34" s="419"/>
      <c r="IK34" s="419"/>
      <c r="IL34" s="419"/>
      <c r="IM34" s="419"/>
      <c r="IN34" s="419"/>
      <c r="IO34" s="419"/>
      <c r="IP34" s="419"/>
      <c r="IQ34" s="419"/>
      <c r="IR34" s="419"/>
      <c r="IS34" s="419"/>
      <c r="IT34" s="419"/>
      <c r="IU34" s="419"/>
      <c r="IV34" s="419"/>
    </row>
    <row r="35" spans="1:256" s="536" customFormat="1" ht="16.5" customHeight="1" thickBot="1" x14ac:dyDescent="0.25">
      <c r="A35" s="485" t="s">
        <v>502</v>
      </c>
      <c r="B35" s="540" t="s">
        <v>47</v>
      </c>
      <c r="C35" s="487">
        <f>ROUND(AVERAGE(B34:C34),-1)</f>
        <v>5360</v>
      </c>
      <c r="D35" s="487">
        <f>ROUND(AVERAGE(C34:D34),-1)</f>
        <v>5860</v>
      </c>
      <c r="E35" s="487">
        <f>ROUND(AVERAGE(D34:E34),-1)</f>
        <v>6220</v>
      </c>
      <c r="F35" s="487">
        <f>ROUND(AVERAGE(E34:F34),-1)</f>
        <v>7020</v>
      </c>
      <c r="G35" s="487">
        <f>ROUND(AVERAGE(F34:G34),-1)</f>
        <v>6640</v>
      </c>
      <c r="H35" s="1056"/>
      <c r="I35" s="1056"/>
      <c r="J35" s="1056"/>
      <c r="K35" s="1056"/>
      <c r="L35" s="1056"/>
      <c r="M35" s="1056"/>
      <c r="N35" s="1056"/>
      <c r="O35" s="1056"/>
      <c r="P35" s="1056"/>
      <c r="Q35" s="1056"/>
      <c r="R35" s="1056"/>
      <c r="S35" s="1056"/>
      <c r="T35" s="1056"/>
      <c r="U35" s="1056"/>
      <c r="V35" s="1056"/>
      <c r="W35" s="1056"/>
      <c r="X35" s="1056"/>
      <c r="Y35" s="1056"/>
      <c r="Z35" s="1056"/>
      <c r="AA35" s="488"/>
      <c r="AB35" s="488"/>
      <c r="AC35" s="488"/>
      <c r="AD35" s="488"/>
      <c r="AE35" s="488"/>
      <c r="AF35" s="488"/>
      <c r="AG35" s="488"/>
      <c r="AH35" s="488"/>
      <c r="AI35" s="488"/>
      <c r="AJ35" s="488"/>
      <c r="AK35" s="488"/>
      <c r="AL35" s="488"/>
      <c r="AM35" s="488"/>
      <c r="AN35" s="488"/>
      <c r="AO35" s="488"/>
      <c r="AP35" s="488"/>
      <c r="AQ35" s="488"/>
      <c r="AR35" s="488"/>
      <c r="AS35" s="488"/>
      <c r="AT35" s="488"/>
      <c r="AU35" s="488"/>
      <c r="AV35" s="488"/>
      <c r="AW35" s="488"/>
      <c r="AX35" s="488"/>
      <c r="AY35" s="488"/>
      <c r="AZ35" s="488"/>
      <c r="BA35" s="488"/>
      <c r="BB35" s="488"/>
      <c r="BC35" s="488"/>
      <c r="BD35" s="488"/>
      <c r="BE35" s="488"/>
      <c r="BF35" s="488"/>
      <c r="BG35" s="488"/>
      <c r="BH35" s="488"/>
      <c r="BI35" s="488"/>
      <c r="BJ35" s="488"/>
      <c r="BK35" s="488"/>
      <c r="BL35" s="488"/>
      <c r="BM35" s="488"/>
      <c r="BN35" s="488"/>
      <c r="BO35" s="488"/>
      <c r="BP35" s="488"/>
      <c r="BQ35" s="488"/>
      <c r="BR35" s="488"/>
      <c r="BS35" s="488"/>
      <c r="BT35" s="488"/>
      <c r="BU35" s="488"/>
      <c r="BV35" s="488"/>
      <c r="BW35" s="488"/>
      <c r="BX35" s="488"/>
      <c r="BY35" s="488"/>
      <c r="BZ35" s="488"/>
      <c r="CA35" s="488"/>
      <c r="CB35" s="488"/>
      <c r="CC35" s="488"/>
      <c r="CD35" s="488"/>
      <c r="CE35" s="488"/>
      <c r="CF35" s="488"/>
      <c r="CG35" s="488"/>
      <c r="CH35" s="488"/>
      <c r="CI35" s="488"/>
      <c r="CJ35" s="488"/>
      <c r="CK35" s="488"/>
      <c r="CL35" s="488"/>
      <c r="CM35" s="488"/>
      <c r="CN35" s="488"/>
      <c r="CO35" s="488"/>
      <c r="CP35" s="488"/>
      <c r="CQ35" s="488"/>
      <c r="CR35" s="488"/>
      <c r="CS35" s="488"/>
      <c r="CT35" s="488"/>
      <c r="CU35" s="488"/>
      <c r="CV35" s="488"/>
      <c r="CW35" s="488"/>
      <c r="CX35" s="488"/>
      <c r="CY35" s="488"/>
      <c r="CZ35" s="488"/>
      <c r="DA35" s="488"/>
      <c r="DB35" s="488"/>
      <c r="DC35" s="488"/>
      <c r="DD35" s="488"/>
      <c r="DE35" s="488"/>
      <c r="DF35" s="488"/>
      <c r="DG35" s="488"/>
      <c r="DH35" s="488"/>
      <c r="DI35" s="488"/>
      <c r="DJ35" s="488"/>
      <c r="DK35" s="488"/>
      <c r="DL35" s="488"/>
      <c r="DM35" s="488"/>
      <c r="DN35" s="488"/>
      <c r="DO35" s="488"/>
      <c r="DP35" s="488"/>
      <c r="DQ35" s="488"/>
      <c r="DR35" s="488"/>
      <c r="DS35" s="488"/>
      <c r="DT35" s="488"/>
      <c r="DU35" s="488"/>
      <c r="DV35" s="488"/>
      <c r="DW35" s="488"/>
      <c r="DX35" s="488"/>
      <c r="DY35" s="488"/>
      <c r="DZ35" s="488"/>
      <c r="EA35" s="488"/>
      <c r="EB35" s="488"/>
      <c r="EC35" s="488"/>
      <c r="ED35" s="488"/>
      <c r="EE35" s="488"/>
      <c r="EF35" s="488"/>
      <c r="EG35" s="488"/>
      <c r="EH35" s="488"/>
      <c r="EI35" s="488"/>
      <c r="EJ35" s="488"/>
      <c r="EK35" s="488"/>
      <c r="EL35" s="488"/>
      <c r="EM35" s="488"/>
      <c r="EN35" s="488"/>
      <c r="EO35" s="488"/>
      <c r="EP35" s="488"/>
      <c r="EQ35" s="488"/>
      <c r="ER35" s="488"/>
      <c r="ES35" s="488"/>
      <c r="ET35" s="488"/>
      <c r="EU35" s="488"/>
      <c r="EV35" s="488"/>
      <c r="EW35" s="488"/>
      <c r="EX35" s="488"/>
      <c r="EY35" s="488"/>
      <c r="EZ35" s="488"/>
      <c r="FA35" s="488"/>
      <c r="FB35" s="488"/>
      <c r="FC35" s="488"/>
      <c r="FD35" s="488"/>
      <c r="FE35" s="488"/>
      <c r="FF35" s="488"/>
      <c r="FG35" s="488"/>
      <c r="FH35" s="488"/>
      <c r="FI35" s="488"/>
      <c r="FJ35" s="488"/>
      <c r="FK35" s="488"/>
      <c r="FL35" s="488"/>
      <c r="FM35" s="488"/>
      <c r="FN35" s="488"/>
      <c r="FO35" s="488"/>
      <c r="FP35" s="488"/>
      <c r="FQ35" s="488"/>
      <c r="FR35" s="488"/>
      <c r="FS35" s="488"/>
      <c r="FT35" s="488"/>
      <c r="FU35" s="488"/>
      <c r="FV35" s="488"/>
      <c r="FW35" s="488"/>
      <c r="FX35" s="488"/>
      <c r="FY35" s="488"/>
      <c r="FZ35" s="488"/>
      <c r="GA35" s="488"/>
      <c r="GB35" s="488"/>
      <c r="GC35" s="488"/>
      <c r="GD35" s="488"/>
      <c r="GE35" s="488"/>
      <c r="GF35" s="488"/>
      <c r="GG35" s="488"/>
      <c r="GH35" s="488"/>
      <c r="GI35" s="488"/>
      <c r="GJ35" s="488"/>
      <c r="GK35" s="488"/>
      <c r="GL35" s="488"/>
      <c r="GM35" s="488"/>
      <c r="GN35" s="488"/>
      <c r="GO35" s="488"/>
      <c r="GP35" s="488"/>
      <c r="GQ35" s="488"/>
      <c r="GR35" s="488"/>
      <c r="GS35" s="488"/>
      <c r="GT35" s="488"/>
      <c r="GU35" s="488"/>
      <c r="GV35" s="488"/>
      <c r="GW35" s="488"/>
      <c r="GX35" s="488"/>
      <c r="GY35" s="488"/>
      <c r="GZ35" s="488"/>
      <c r="HA35" s="488"/>
      <c r="HB35" s="488"/>
      <c r="HC35" s="488"/>
      <c r="HD35" s="488"/>
      <c r="HE35" s="488"/>
      <c r="HF35" s="488"/>
      <c r="HG35" s="488"/>
      <c r="HH35" s="488"/>
      <c r="HI35" s="488"/>
      <c r="HJ35" s="488"/>
      <c r="HK35" s="488"/>
      <c r="HL35" s="488"/>
      <c r="HM35" s="488"/>
      <c r="HN35" s="488"/>
      <c r="HO35" s="488"/>
      <c r="HP35" s="488"/>
      <c r="HQ35" s="488"/>
      <c r="HR35" s="488"/>
      <c r="HS35" s="488"/>
      <c r="HT35" s="488"/>
      <c r="HU35" s="488"/>
      <c r="HV35" s="488"/>
      <c r="HW35" s="488"/>
      <c r="HX35" s="488"/>
      <c r="HY35" s="488"/>
      <c r="HZ35" s="488"/>
      <c r="IA35" s="488"/>
      <c r="IB35" s="488"/>
      <c r="IC35" s="488"/>
      <c r="ID35" s="488"/>
      <c r="IE35" s="488"/>
      <c r="IF35" s="488"/>
      <c r="IG35" s="488"/>
      <c r="IH35" s="488"/>
      <c r="II35" s="488"/>
      <c r="IJ35" s="488"/>
      <c r="IK35" s="488"/>
      <c r="IL35" s="488"/>
      <c r="IM35" s="488"/>
      <c r="IN35" s="488"/>
      <c r="IO35" s="488"/>
      <c r="IP35" s="488"/>
      <c r="IQ35" s="488"/>
      <c r="IR35" s="488"/>
      <c r="IS35" s="488"/>
      <c r="IT35" s="488"/>
      <c r="IU35" s="488"/>
      <c r="IV35" s="488"/>
    </row>
    <row r="36" spans="1:256" s="210" customFormat="1" ht="5.25" customHeight="1" x14ac:dyDescent="0.2">
      <c r="A36" s="193"/>
      <c r="B36" s="193"/>
      <c r="C36" s="193"/>
      <c r="D36" s="193"/>
      <c r="E36" s="193"/>
      <c r="F36" s="193"/>
      <c r="G36" s="193"/>
      <c r="H36" s="827"/>
      <c r="I36" s="677"/>
      <c r="J36" s="677"/>
      <c r="K36" s="677"/>
      <c r="L36" s="677"/>
      <c r="M36" s="677"/>
      <c r="N36" s="677"/>
      <c r="O36" s="677"/>
      <c r="P36" s="677"/>
      <c r="Q36" s="677"/>
      <c r="R36" s="677"/>
      <c r="S36" s="677"/>
      <c r="T36" s="677"/>
      <c r="U36" s="677"/>
      <c r="V36" s="677"/>
      <c r="W36" s="677"/>
      <c r="X36" s="677"/>
      <c r="Y36" s="677"/>
      <c r="Z36" s="677"/>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193"/>
      <c r="BC36" s="193"/>
      <c r="BD36" s="193"/>
      <c r="BE36" s="193"/>
      <c r="BF36" s="193"/>
      <c r="BG36" s="193"/>
      <c r="BH36" s="193"/>
      <c r="BI36" s="193"/>
      <c r="BJ36" s="193"/>
      <c r="BK36" s="193"/>
      <c r="BL36" s="193"/>
      <c r="BM36" s="193"/>
      <c r="BN36" s="193"/>
      <c r="BO36" s="193"/>
      <c r="BP36" s="193"/>
      <c r="BQ36" s="193"/>
      <c r="BR36" s="193"/>
      <c r="BS36" s="193"/>
      <c r="BT36" s="193"/>
      <c r="BU36" s="193"/>
      <c r="BV36" s="193"/>
      <c r="BW36" s="193"/>
      <c r="BX36" s="193"/>
      <c r="BY36" s="193"/>
      <c r="BZ36" s="193"/>
      <c r="CA36" s="193"/>
      <c r="CB36" s="193"/>
      <c r="CC36" s="193"/>
      <c r="CD36" s="193"/>
      <c r="CE36" s="193"/>
      <c r="CF36" s="193"/>
      <c r="CG36" s="193"/>
      <c r="CH36" s="193"/>
      <c r="CI36" s="193"/>
      <c r="CJ36" s="193"/>
      <c r="CK36" s="193"/>
      <c r="CL36" s="193"/>
      <c r="CM36" s="193"/>
      <c r="CN36" s="193"/>
      <c r="CO36" s="193"/>
      <c r="CP36" s="193"/>
      <c r="CQ36" s="193"/>
      <c r="CR36" s="193"/>
      <c r="CS36" s="193"/>
      <c r="CT36" s="193"/>
      <c r="CU36" s="193"/>
      <c r="CV36" s="193"/>
      <c r="CW36" s="193"/>
      <c r="CX36" s="193"/>
      <c r="CY36" s="193"/>
      <c r="CZ36" s="193"/>
      <c r="DA36" s="193"/>
      <c r="DB36" s="193"/>
      <c r="DC36" s="193"/>
      <c r="DD36" s="193"/>
      <c r="DE36" s="193"/>
      <c r="DF36" s="193"/>
      <c r="DG36" s="193"/>
      <c r="DH36" s="193"/>
      <c r="DI36" s="193"/>
      <c r="DJ36" s="193"/>
      <c r="DK36" s="193"/>
      <c r="DL36" s="193"/>
      <c r="DM36" s="193"/>
      <c r="DN36" s="193"/>
      <c r="DO36" s="193"/>
      <c r="DP36" s="193"/>
      <c r="DQ36" s="193"/>
      <c r="DR36" s="193"/>
      <c r="DS36" s="193"/>
      <c r="DT36" s="193"/>
      <c r="DU36" s="193"/>
      <c r="DV36" s="193"/>
      <c r="DW36" s="193"/>
      <c r="DX36" s="193"/>
      <c r="DY36" s="193"/>
      <c r="DZ36" s="193"/>
      <c r="EA36" s="193"/>
      <c r="EB36" s="193"/>
      <c r="EC36" s="193"/>
      <c r="ED36" s="193"/>
      <c r="EE36" s="193"/>
      <c r="EF36" s="193"/>
      <c r="EG36" s="193"/>
      <c r="EH36" s="193"/>
      <c r="EI36" s="193"/>
      <c r="EJ36" s="193"/>
      <c r="EK36" s="193"/>
      <c r="EL36" s="193"/>
      <c r="EM36" s="193"/>
      <c r="EN36" s="193"/>
      <c r="EO36" s="193"/>
      <c r="EP36" s="193"/>
      <c r="EQ36" s="193"/>
      <c r="ER36" s="193"/>
      <c r="ES36" s="193"/>
      <c r="ET36" s="193"/>
      <c r="EU36" s="193"/>
      <c r="EV36" s="193"/>
      <c r="EW36" s="193"/>
      <c r="EX36" s="193"/>
      <c r="EY36" s="193"/>
      <c r="EZ36" s="193"/>
      <c r="FA36" s="193"/>
      <c r="FB36" s="193"/>
      <c r="FC36" s="193"/>
      <c r="FD36" s="193"/>
      <c r="FE36" s="193"/>
      <c r="FF36" s="193"/>
      <c r="FG36" s="193"/>
      <c r="FH36" s="193"/>
      <c r="FI36" s="193"/>
      <c r="FJ36" s="193"/>
      <c r="FK36" s="193"/>
      <c r="FL36" s="193"/>
      <c r="FM36" s="193"/>
      <c r="FN36" s="193"/>
      <c r="FO36" s="193"/>
      <c r="FP36" s="193"/>
      <c r="FQ36" s="193"/>
      <c r="FR36" s="193"/>
      <c r="FS36" s="193"/>
      <c r="FT36" s="193"/>
      <c r="FU36" s="193"/>
      <c r="FV36" s="193"/>
      <c r="FW36" s="193"/>
      <c r="FX36" s="193"/>
      <c r="FY36" s="193"/>
      <c r="FZ36" s="193"/>
      <c r="GA36" s="193"/>
      <c r="GB36" s="193"/>
      <c r="GC36" s="193"/>
      <c r="GD36" s="193"/>
      <c r="GE36" s="193"/>
      <c r="GF36" s="193"/>
      <c r="GG36" s="193"/>
      <c r="GH36" s="193"/>
      <c r="GI36" s="193"/>
      <c r="GJ36" s="193"/>
      <c r="GK36" s="193"/>
      <c r="GL36" s="193"/>
      <c r="GM36" s="193"/>
      <c r="GN36" s="193"/>
      <c r="GO36" s="193"/>
      <c r="GP36" s="193"/>
      <c r="GQ36" s="193"/>
      <c r="GR36" s="193"/>
      <c r="GS36" s="193"/>
      <c r="GT36" s="193"/>
      <c r="GU36" s="193"/>
      <c r="GV36" s="193"/>
      <c r="GW36" s="193"/>
      <c r="GX36" s="193"/>
      <c r="GY36" s="193"/>
      <c r="GZ36" s="193"/>
      <c r="HA36" s="193"/>
      <c r="HB36" s="193"/>
      <c r="HC36" s="193"/>
      <c r="HD36" s="193"/>
      <c r="HE36" s="193"/>
      <c r="HF36" s="193"/>
      <c r="HG36" s="193"/>
      <c r="HH36" s="193"/>
      <c r="HI36" s="193"/>
      <c r="HJ36" s="193"/>
      <c r="HK36" s="193"/>
      <c r="HL36" s="193"/>
      <c r="HM36" s="193"/>
      <c r="HN36" s="193"/>
      <c r="HO36" s="193"/>
      <c r="HP36" s="193"/>
      <c r="HQ36" s="193"/>
      <c r="HR36" s="193"/>
      <c r="HS36" s="193"/>
      <c r="HT36" s="193"/>
      <c r="HU36" s="193"/>
      <c r="HV36" s="193"/>
      <c r="HW36" s="193"/>
      <c r="HX36" s="193"/>
      <c r="HY36" s="193"/>
      <c r="HZ36" s="193"/>
      <c r="IA36" s="193"/>
      <c r="IB36" s="193"/>
      <c r="IC36" s="193"/>
      <c r="ID36" s="193"/>
      <c r="IE36" s="193"/>
      <c r="IF36" s="193"/>
      <c r="IG36" s="193"/>
      <c r="IH36" s="193"/>
      <c r="II36" s="193"/>
      <c r="IJ36" s="193"/>
      <c r="IK36" s="193"/>
      <c r="IL36" s="193"/>
      <c r="IM36" s="193"/>
      <c r="IN36" s="193"/>
      <c r="IO36" s="193"/>
      <c r="IP36" s="193"/>
      <c r="IQ36" s="193"/>
      <c r="IR36" s="193"/>
      <c r="IS36" s="193"/>
      <c r="IT36" s="193"/>
      <c r="IU36" s="193"/>
      <c r="IV36" s="193"/>
    </row>
    <row r="37" spans="1:256" s="492" customFormat="1" ht="16.5" customHeight="1" x14ac:dyDescent="0.2">
      <c r="A37" s="199"/>
      <c r="B37" s="468" t="s">
        <v>493</v>
      </c>
      <c r="C37" s="269"/>
      <c r="D37" s="269"/>
      <c r="E37" s="269"/>
      <c r="F37" s="269"/>
      <c r="G37" s="269"/>
      <c r="H37" s="677"/>
      <c r="I37" s="677"/>
      <c r="J37" s="677"/>
      <c r="K37" s="677"/>
      <c r="L37" s="677"/>
      <c r="M37" s="677"/>
      <c r="N37" s="677"/>
      <c r="O37" s="677"/>
      <c r="P37" s="677"/>
      <c r="Q37" s="677"/>
      <c r="R37" s="677"/>
      <c r="S37" s="677"/>
      <c r="T37" s="677"/>
      <c r="U37" s="677"/>
      <c r="V37" s="677"/>
      <c r="W37" s="677"/>
      <c r="X37" s="677"/>
      <c r="Y37" s="677"/>
      <c r="Z37" s="677"/>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193"/>
      <c r="BC37" s="193"/>
      <c r="BD37" s="193"/>
      <c r="BE37" s="193"/>
      <c r="BF37" s="193"/>
      <c r="BG37" s="193"/>
      <c r="BH37" s="193"/>
      <c r="BI37" s="193"/>
      <c r="BJ37" s="193"/>
      <c r="BK37" s="193"/>
      <c r="BL37" s="193"/>
      <c r="BM37" s="193"/>
      <c r="BN37" s="193"/>
      <c r="BO37" s="193"/>
      <c r="BP37" s="193"/>
      <c r="BQ37" s="193"/>
      <c r="BR37" s="193"/>
      <c r="BS37" s="193"/>
      <c r="BT37" s="193"/>
      <c r="BU37" s="193"/>
      <c r="BV37" s="193"/>
      <c r="BW37" s="193"/>
      <c r="BX37" s="193"/>
      <c r="BY37" s="193"/>
      <c r="BZ37" s="193"/>
      <c r="CA37" s="193"/>
      <c r="CB37" s="193"/>
      <c r="CC37" s="193"/>
      <c r="CD37" s="193"/>
      <c r="CE37" s="193"/>
      <c r="CF37" s="193"/>
      <c r="CG37" s="193"/>
      <c r="CH37" s="193"/>
      <c r="CI37" s="193"/>
      <c r="CJ37" s="193"/>
      <c r="CK37" s="193"/>
      <c r="CL37" s="193"/>
      <c r="CM37" s="193"/>
      <c r="CN37" s="193"/>
      <c r="CO37" s="193"/>
      <c r="CP37" s="193"/>
      <c r="CQ37" s="193"/>
      <c r="CR37" s="193"/>
      <c r="CS37" s="193"/>
      <c r="CT37" s="193"/>
      <c r="CU37" s="193"/>
      <c r="CV37" s="193"/>
      <c r="CW37" s="193"/>
      <c r="CX37" s="193"/>
      <c r="CY37" s="193"/>
      <c r="CZ37" s="193"/>
      <c r="DA37" s="193"/>
      <c r="DB37" s="193"/>
      <c r="DC37" s="193"/>
      <c r="DD37" s="193"/>
      <c r="DE37" s="193"/>
      <c r="DF37" s="193"/>
      <c r="DG37" s="193"/>
      <c r="DH37" s="193"/>
      <c r="DI37" s="193"/>
      <c r="DJ37" s="193"/>
      <c r="DK37" s="193"/>
      <c r="DL37" s="193"/>
      <c r="DM37" s="193"/>
      <c r="DN37" s="193"/>
      <c r="DO37" s="193"/>
      <c r="DP37" s="193"/>
      <c r="DQ37" s="193"/>
      <c r="DR37" s="193"/>
      <c r="DS37" s="193"/>
      <c r="DT37" s="193"/>
      <c r="DU37" s="193"/>
      <c r="DV37" s="193"/>
      <c r="DW37" s="193"/>
      <c r="DX37" s="193"/>
      <c r="DY37" s="193"/>
      <c r="DZ37" s="193"/>
      <c r="EA37" s="193"/>
      <c r="EB37" s="193"/>
      <c r="EC37" s="193"/>
      <c r="ED37" s="193"/>
      <c r="EE37" s="193"/>
      <c r="EF37" s="193"/>
      <c r="EG37" s="193"/>
      <c r="EH37" s="193"/>
      <c r="EI37" s="193"/>
      <c r="EJ37" s="193"/>
      <c r="EK37" s="193"/>
      <c r="EL37" s="193"/>
      <c r="EM37" s="193"/>
      <c r="EN37" s="193"/>
      <c r="EO37" s="193"/>
      <c r="EP37" s="193"/>
      <c r="EQ37" s="193"/>
      <c r="ER37" s="193"/>
      <c r="ES37" s="193"/>
      <c r="ET37" s="193"/>
      <c r="EU37" s="193"/>
      <c r="EV37" s="193"/>
      <c r="EW37" s="193"/>
      <c r="EX37" s="193"/>
      <c r="EY37" s="193"/>
      <c r="EZ37" s="193"/>
      <c r="FA37" s="193"/>
      <c r="FB37" s="193"/>
      <c r="FC37" s="193"/>
      <c r="FD37" s="193"/>
      <c r="FE37" s="193"/>
      <c r="FF37" s="193"/>
      <c r="FG37" s="193"/>
      <c r="FH37" s="193"/>
      <c r="FI37" s="193"/>
      <c r="FJ37" s="193"/>
      <c r="FK37" s="193"/>
      <c r="FL37" s="193"/>
      <c r="FM37" s="193"/>
      <c r="FN37" s="193"/>
      <c r="FO37" s="193"/>
      <c r="FP37" s="193"/>
      <c r="FQ37" s="193"/>
      <c r="FR37" s="193"/>
      <c r="FS37" s="193"/>
      <c r="FT37" s="193"/>
      <c r="FU37" s="193"/>
      <c r="FV37" s="193"/>
      <c r="FW37" s="193"/>
      <c r="FX37" s="193"/>
      <c r="FY37" s="193"/>
      <c r="FZ37" s="193"/>
      <c r="GA37" s="193"/>
      <c r="GB37" s="193"/>
      <c r="GC37" s="193"/>
      <c r="GD37" s="193"/>
      <c r="GE37" s="193"/>
      <c r="GF37" s="193"/>
      <c r="GG37" s="193"/>
      <c r="GH37" s="193"/>
      <c r="GI37" s="193"/>
      <c r="GJ37" s="193"/>
      <c r="GK37" s="193"/>
      <c r="GL37" s="193"/>
      <c r="GM37" s="193"/>
      <c r="GN37" s="193"/>
      <c r="GO37" s="193"/>
      <c r="GP37" s="193"/>
      <c r="GQ37" s="193"/>
      <c r="GR37" s="193"/>
      <c r="GS37" s="193"/>
      <c r="GT37" s="193"/>
      <c r="GU37" s="193"/>
      <c r="GV37" s="193"/>
      <c r="GW37" s="193"/>
      <c r="GX37" s="193"/>
      <c r="GY37" s="193"/>
      <c r="GZ37" s="193"/>
      <c r="HA37" s="193"/>
      <c r="HB37" s="193"/>
      <c r="HC37" s="193"/>
      <c r="HD37" s="193"/>
      <c r="HE37" s="193"/>
      <c r="HF37" s="193"/>
      <c r="HG37" s="193"/>
      <c r="HH37" s="193"/>
      <c r="HI37" s="193"/>
      <c r="HJ37" s="193"/>
      <c r="HK37" s="193"/>
      <c r="HL37" s="193"/>
      <c r="HM37" s="193"/>
      <c r="HN37" s="193"/>
      <c r="HO37" s="193"/>
      <c r="HP37" s="193"/>
      <c r="HQ37" s="193"/>
      <c r="HR37" s="193"/>
      <c r="HS37" s="193"/>
      <c r="HT37" s="193"/>
      <c r="HU37" s="193"/>
      <c r="HV37" s="193"/>
      <c r="HW37" s="193"/>
      <c r="HX37" s="193"/>
      <c r="HY37" s="193"/>
      <c r="HZ37" s="193"/>
      <c r="IA37" s="193"/>
      <c r="IB37" s="193"/>
      <c r="IC37" s="193"/>
      <c r="ID37" s="193"/>
      <c r="IE37" s="193"/>
      <c r="IF37" s="193"/>
      <c r="IG37" s="193"/>
      <c r="IH37" s="193"/>
      <c r="II37" s="193"/>
      <c r="IJ37" s="193"/>
      <c r="IK37" s="193"/>
      <c r="IL37" s="193"/>
      <c r="IM37" s="193"/>
      <c r="IN37" s="193"/>
      <c r="IO37" s="193"/>
      <c r="IP37" s="193"/>
      <c r="IQ37" s="193"/>
      <c r="IR37" s="193"/>
      <c r="IS37" s="193"/>
      <c r="IT37" s="193"/>
      <c r="IU37" s="193"/>
      <c r="IV37" s="193"/>
    </row>
    <row r="38" spans="1:256" s="492" customFormat="1" ht="16.5" customHeight="1" x14ac:dyDescent="0.2">
      <c r="A38" s="54" t="s">
        <v>241</v>
      </c>
      <c r="B38" s="58">
        <f>'Common-size FS'!B9</f>
        <v>2010</v>
      </c>
      <c r="C38" s="58">
        <f>B38+1</f>
        <v>2011</v>
      </c>
      <c r="D38" s="58">
        <f>C38+1</f>
        <v>2012</v>
      </c>
      <c r="E38" s="58">
        <f>D38+1</f>
        <v>2013</v>
      </c>
      <c r="F38" s="58">
        <f>E38+1</f>
        <v>2014</v>
      </c>
      <c r="G38" s="58">
        <f>F38+1</f>
        <v>2015</v>
      </c>
      <c r="H38" s="1062"/>
      <c r="I38" s="677"/>
      <c r="J38" s="677"/>
      <c r="K38" s="677"/>
      <c r="L38" s="677"/>
      <c r="M38" s="677"/>
      <c r="N38" s="677"/>
      <c r="O38" s="677"/>
      <c r="P38" s="677"/>
      <c r="Q38" s="677"/>
      <c r="R38" s="677"/>
      <c r="S38" s="677"/>
      <c r="T38" s="677"/>
      <c r="U38" s="677"/>
      <c r="V38" s="677"/>
      <c r="W38" s="677"/>
      <c r="X38" s="677"/>
      <c r="Y38" s="677"/>
      <c r="Z38" s="677"/>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193"/>
      <c r="BC38" s="193"/>
      <c r="BD38" s="193"/>
      <c r="BE38" s="193"/>
      <c r="BF38" s="193"/>
      <c r="BG38" s="193"/>
      <c r="BH38" s="193"/>
      <c r="BI38" s="193"/>
      <c r="BJ38" s="193"/>
      <c r="BK38" s="193"/>
      <c r="BL38" s="193"/>
      <c r="BM38" s="193"/>
      <c r="BN38" s="193"/>
      <c r="BO38" s="193"/>
      <c r="BP38" s="193"/>
      <c r="BQ38" s="193"/>
      <c r="BR38" s="193"/>
      <c r="BS38" s="193"/>
      <c r="BT38" s="193"/>
      <c r="BU38" s="193"/>
      <c r="BV38" s="193"/>
      <c r="BW38" s="193"/>
      <c r="BX38" s="193"/>
      <c r="BY38" s="193"/>
      <c r="BZ38" s="193"/>
      <c r="CA38" s="193"/>
      <c r="CB38" s="193"/>
      <c r="CC38" s="193"/>
      <c r="CD38" s="193"/>
      <c r="CE38" s="193"/>
      <c r="CF38" s="193"/>
      <c r="CG38" s="193"/>
      <c r="CH38" s="193"/>
      <c r="CI38" s="193"/>
      <c r="CJ38" s="193"/>
      <c r="CK38" s="193"/>
      <c r="CL38" s="193"/>
      <c r="CM38" s="193"/>
      <c r="CN38" s="193"/>
      <c r="CO38" s="193"/>
      <c r="CP38" s="193"/>
      <c r="CQ38" s="193"/>
      <c r="CR38" s="193"/>
      <c r="CS38" s="193"/>
      <c r="CT38" s="193"/>
      <c r="CU38" s="193"/>
      <c r="CV38" s="193"/>
      <c r="CW38" s="193"/>
      <c r="CX38" s="193"/>
      <c r="CY38" s="193"/>
      <c r="CZ38" s="193"/>
      <c r="DA38" s="193"/>
      <c r="DB38" s="193"/>
      <c r="DC38" s="193"/>
      <c r="DD38" s="193"/>
      <c r="DE38" s="193"/>
      <c r="DF38" s="193"/>
      <c r="DG38" s="193"/>
      <c r="DH38" s="193"/>
      <c r="DI38" s="193"/>
      <c r="DJ38" s="193"/>
      <c r="DK38" s="193"/>
      <c r="DL38" s="193"/>
      <c r="DM38" s="193"/>
      <c r="DN38" s="193"/>
      <c r="DO38" s="193"/>
      <c r="DP38" s="193"/>
      <c r="DQ38" s="193"/>
      <c r="DR38" s="193"/>
      <c r="DS38" s="193"/>
      <c r="DT38" s="193"/>
      <c r="DU38" s="193"/>
      <c r="DV38" s="193"/>
      <c r="DW38" s="193"/>
      <c r="DX38" s="193"/>
      <c r="DY38" s="193"/>
      <c r="DZ38" s="193"/>
      <c r="EA38" s="193"/>
      <c r="EB38" s="193"/>
      <c r="EC38" s="193"/>
      <c r="ED38" s="193"/>
      <c r="EE38" s="193"/>
      <c r="EF38" s="193"/>
      <c r="EG38" s="193"/>
      <c r="EH38" s="193"/>
      <c r="EI38" s="193"/>
      <c r="EJ38" s="193"/>
      <c r="EK38" s="193"/>
      <c r="EL38" s="193"/>
      <c r="EM38" s="193"/>
      <c r="EN38" s="193"/>
      <c r="EO38" s="193"/>
      <c r="EP38" s="193"/>
      <c r="EQ38" s="193"/>
      <c r="ER38" s="193"/>
      <c r="ES38" s="193"/>
      <c r="ET38" s="193"/>
      <c r="EU38" s="193"/>
      <c r="EV38" s="193"/>
      <c r="EW38" s="193"/>
      <c r="EX38" s="193"/>
      <c r="EY38" s="193"/>
      <c r="EZ38" s="193"/>
      <c r="FA38" s="193"/>
      <c r="FB38" s="193"/>
      <c r="FC38" s="193"/>
      <c r="FD38" s="193"/>
      <c r="FE38" s="193"/>
      <c r="FF38" s="193"/>
      <c r="FG38" s="193"/>
      <c r="FH38" s="193"/>
      <c r="FI38" s="193"/>
      <c r="FJ38" s="193"/>
      <c r="FK38" s="193"/>
      <c r="FL38" s="193"/>
      <c r="FM38" s="193"/>
      <c r="FN38" s="193"/>
      <c r="FO38" s="193"/>
      <c r="FP38" s="193"/>
      <c r="FQ38" s="193"/>
      <c r="FR38" s="193"/>
      <c r="FS38" s="193"/>
      <c r="FT38" s="193"/>
      <c r="FU38" s="193"/>
      <c r="FV38" s="193"/>
      <c r="FW38" s="193"/>
      <c r="FX38" s="193"/>
      <c r="FY38" s="193"/>
      <c r="FZ38" s="193"/>
      <c r="GA38" s="193"/>
      <c r="GB38" s="193"/>
      <c r="GC38" s="193"/>
      <c r="GD38" s="193"/>
      <c r="GE38" s="193"/>
      <c r="GF38" s="193"/>
      <c r="GG38" s="193"/>
      <c r="GH38" s="193"/>
      <c r="GI38" s="193"/>
      <c r="GJ38" s="193"/>
      <c r="GK38" s="193"/>
      <c r="GL38" s="193"/>
      <c r="GM38" s="193"/>
      <c r="GN38" s="193"/>
      <c r="GO38" s="193"/>
      <c r="GP38" s="193"/>
      <c r="GQ38" s="193"/>
      <c r="GR38" s="193"/>
      <c r="GS38" s="193"/>
      <c r="GT38" s="193"/>
      <c r="GU38" s="193"/>
      <c r="GV38" s="193"/>
      <c r="GW38" s="193"/>
      <c r="GX38" s="193"/>
      <c r="GY38" s="193"/>
      <c r="GZ38" s="193"/>
      <c r="HA38" s="193"/>
      <c r="HB38" s="193"/>
      <c r="HC38" s="193"/>
      <c r="HD38" s="193"/>
      <c r="HE38" s="193"/>
      <c r="HF38" s="193"/>
      <c r="HG38" s="193"/>
      <c r="HH38" s="193"/>
      <c r="HI38" s="193"/>
      <c r="HJ38" s="193"/>
      <c r="HK38" s="193"/>
      <c r="HL38" s="193"/>
      <c r="HM38" s="193"/>
      <c r="HN38" s="193"/>
      <c r="HO38" s="193"/>
      <c r="HP38" s="193"/>
      <c r="HQ38" s="193"/>
      <c r="HR38" s="193"/>
      <c r="HS38" s="193"/>
      <c r="HT38" s="193"/>
      <c r="HU38" s="193"/>
      <c r="HV38" s="193"/>
      <c r="HW38" s="193"/>
      <c r="HX38" s="193"/>
      <c r="HY38" s="193"/>
      <c r="HZ38" s="193"/>
      <c r="IA38" s="193"/>
      <c r="IB38" s="193"/>
      <c r="IC38" s="193"/>
      <c r="ID38" s="193"/>
      <c r="IE38" s="193"/>
      <c r="IF38" s="193"/>
      <c r="IG38" s="193"/>
      <c r="IH38" s="193"/>
      <c r="II38" s="193"/>
      <c r="IJ38" s="193"/>
      <c r="IK38" s="193"/>
      <c r="IL38" s="193"/>
      <c r="IM38" s="193"/>
      <c r="IN38" s="193"/>
      <c r="IO38" s="193"/>
      <c r="IP38" s="193"/>
      <c r="IQ38" s="193"/>
      <c r="IR38" s="193"/>
      <c r="IS38" s="193"/>
      <c r="IT38" s="193"/>
      <c r="IU38" s="193"/>
      <c r="IV38" s="193"/>
    </row>
    <row r="39" spans="1:256" s="208" customFormat="1" ht="5.25" customHeight="1" x14ac:dyDescent="0.2">
      <c r="A39" s="596"/>
      <c r="B39" s="484"/>
      <c r="C39" s="268"/>
      <c r="D39" s="268"/>
      <c r="E39" s="268"/>
      <c r="F39" s="268"/>
      <c r="G39" s="268"/>
      <c r="H39" s="677"/>
      <c r="I39" s="677"/>
      <c r="J39" s="677"/>
      <c r="K39" s="677"/>
      <c r="L39" s="677"/>
      <c r="M39" s="677"/>
      <c r="N39" s="677"/>
      <c r="O39" s="677"/>
      <c r="P39" s="677"/>
      <c r="Q39" s="677"/>
      <c r="R39" s="677"/>
      <c r="S39" s="677"/>
      <c r="T39" s="677"/>
      <c r="U39" s="677"/>
      <c r="V39" s="677"/>
      <c r="W39" s="677"/>
      <c r="X39" s="677"/>
      <c r="Y39" s="677"/>
      <c r="Z39" s="677"/>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193"/>
      <c r="BC39" s="193"/>
      <c r="BD39" s="193"/>
      <c r="BE39" s="193"/>
      <c r="BF39" s="193"/>
      <c r="BG39" s="193"/>
      <c r="BH39" s="193"/>
      <c r="BI39" s="193"/>
      <c r="BJ39" s="193"/>
      <c r="BK39" s="193"/>
      <c r="BL39" s="193"/>
      <c r="BM39" s="193"/>
      <c r="BN39" s="193"/>
      <c r="BO39" s="193"/>
      <c r="BP39" s="193"/>
      <c r="BQ39" s="193"/>
      <c r="BR39" s="193"/>
      <c r="BS39" s="193"/>
      <c r="BT39" s="193"/>
      <c r="BU39" s="193"/>
      <c r="BV39" s="193"/>
      <c r="BW39" s="193"/>
      <c r="BX39" s="193"/>
      <c r="BY39" s="193"/>
      <c r="BZ39" s="193"/>
      <c r="CA39" s="193"/>
      <c r="CB39" s="193"/>
      <c r="CC39" s="193"/>
      <c r="CD39" s="193"/>
      <c r="CE39" s="193"/>
      <c r="CF39" s="193"/>
      <c r="CG39" s="193"/>
      <c r="CH39" s="193"/>
      <c r="CI39" s="193"/>
      <c r="CJ39" s="193"/>
      <c r="CK39" s="193"/>
      <c r="CL39" s="193"/>
      <c r="CM39" s="193"/>
      <c r="CN39" s="193"/>
      <c r="CO39" s="193"/>
      <c r="CP39" s="193"/>
      <c r="CQ39" s="193"/>
      <c r="CR39" s="193"/>
      <c r="CS39" s="193"/>
      <c r="CT39" s="193"/>
      <c r="CU39" s="193"/>
      <c r="CV39" s="193"/>
      <c r="CW39" s="193"/>
      <c r="CX39" s="193"/>
      <c r="CY39" s="193"/>
      <c r="CZ39" s="193"/>
      <c r="DA39" s="193"/>
      <c r="DB39" s="193"/>
      <c r="DC39" s="193"/>
      <c r="DD39" s="193"/>
      <c r="DE39" s="193"/>
      <c r="DF39" s="193"/>
      <c r="DG39" s="193"/>
      <c r="DH39" s="193"/>
      <c r="DI39" s="193"/>
      <c r="DJ39" s="193"/>
      <c r="DK39" s="193"/>
      <c r="DL39" s="193"/>
      <c r="DM39" s="193"/>
      <c r="DN39" s="193"/>
      <c r="DO39" s="193"/>
      <c r="DP39" s="193"/>
      <c r="DQ39" s="193"/>
      <c r="DR39" s="193"/>
      <c r="DS39" s="193"/>
      <c r="DT39" s="193"/>
      <c r="DU39" s="193"/>
      <c r="DV39" s="193"/>
      <c r="DW39" s="193"/>
      <c r="DX39" s="193"/>
      <c r="DY39" s="193"/>
      <c r="DZ39" s="193"/>
      <c r="EA39" s="193"/>
      <c r="EB39" s="193"/>
      <c r="EC39" s="193"/>
      <c r="ED39" s="193"/>
      <c r="EE39" s="193"/>
      <c r="EF39" s="193"/>
      <c r="EG39" s="193"/>
      <c r="EH39" s="193"/>
      <c r="EI39" s="193"/>
      <c r="EJ39" s="193"/>
      <c r="EK39" s="193"/>
      <c r="EL39" s="193"/>
      <c r="EM39" s="193"/>
      <c r="EN39" s="193"/>
      <c r="EO39" s="193"/>
      <c r="EP39" s="193"/>
      <c r="EQ39" s="193"/>
      <c r="ER39" s="193"/>
      <c r="ES39" s="193"/>
      <c r="ET39" s="193"/>
      <c r="EU39" s="193"/>
      <c r="EV39" s="193"/>
      <c r="EW39" s="193"/>
      <c r="EX39" s="193"/>
      <c r="EY39" s="193"/>
      <c r="EZ39" s="193"/>
      <c r="FA39" s="193"/>
      <c r="FB39" s="193"/>
      <c r="FC39" s="193"/>
      <c r="FD39" s="193"/>
      <c r="FE39" s="193"/>
      <c r="FF39" s="193"/>
      <c r="FG39" s="193"/>
      <c r="FH39" s="193"/>
      <c r="FI39" s="193"/>
      <c r="FJ39" s="193"/>
      <c r="FK39" s="193"/>
      <c r="FL39" s="193"/>
      <c r="FM39" s="193"/>
      <c r="FN39" s="193"/>
      <c r="FO39" s="193"/>
      <c r="FP39" s="193"/>
      <c r="FQ39" s="193"/>
      <c r="FR39" s="193"/>
      <c r="FS39" s="193"/>
      <c r="FT39" s="193"/>
      <c r="FU39" s="193"/>
      <c r="FV39" s="193"/>
      <c r="FW39" s="193"/>
      <c r="FX39" s="193"/>
      <c r="FY39" s="193"/>
      <c r="FZ39" s="193"/>
      <c r="GA39" s="193"/>
      <c r="GB39" s="193"/>
      <c r="GC39" s="193"/>
      <c r="GD39" s="193"/>
      <c r="GE39" s="193"/>
      <c r="GF39" s="193"/>
      <c r="GG39" s="193"/>
      <c r="GH39" s="193"/>
      <c r="GI39" s="193"/>
      <c r="GJ39" s="193"/>
      <c r="GK39" s="193"/>
      <c r="GL39" s="193"/>
      <c r="GM39" s="193"/>
      <c r="GN39" s="193"/>
      <c r="GO39" s="193"/>
      <c r="GP39" s="193"/>
      <c r="GQ39" s="193"/>
      <c r="GR39" s="193"/>
      <c r="GS39" s="193"/>
      <c r="GT39" s="193"/>
      <c r="GU39" s="193"/>
      <c r="GV39" s="193"/>
      <c r="GW39" s="193"/>
      <c r="GX39" s="193"/>
      <c r="GY39" s="193"/>
      <c r="GZ39" s="193"/>
      <c r="HA39" s="193"/>
      <c r="HB39" s="193"/>
      <c r="HC39" s="193"/>
      <c r="HD39" s="193"/>
      <c r="HE39" s="193"/>
      <c r="HF39" s="193"/>
      <c r="HG39" s="193"/>
      <c r="HH39" s="193"/>
      <c r="HI39" s="193"/>
      <c r="HJ39" s="193"/>
      <c r="HK39" s="193"/>
      <c r="HL39" s="193"/>
      <c r="HM39" s="193"/>
      <c r="HN39" s="193"/>
      <c r="HO39" s="193"/>
      <c r="HP39" s="193"/>
      <c r="HQ39" s="193"/>
      <c r="HR39" s="193"/>
      <c r="HS39" s="193"/>
      <c r="HT39" s="193"/>
      <c r="HU39" s="193"/>
      <c r="HV39" s="193"/>
      <c r="HW39" s="193"/>
      <c r="HX39" s="193"/>
      <c r="HY39" s="193"/>
      <c r="HZ39" s="193"/>
      <c r="IA39" s="193"/>
      <c r="IB39" s="193"/>
      <c r="IC39" s="193"/>
      <c r="ID39" s="193"/>
      <c r="IE39" s="193"/>
      <c r="IF39" s="193"/>
      <c r="IG39" s="193"/>
      <c r="IH39" s="193"/>
      <c r="II39" s="193"/>
      <c r="IJ39" s="193"/>
      <c r="IK39" s="193"/>
      <c r="IL39" s="193"/>
      <c r="IM39" s="193"/>
      <c r="IN39" s="193"/>
      <c r="IO39" s="193"/>
      <c r="IP39" s="193"/>
      <c r="IQ39" s="193"/>
      <c r="IR39" s="193"/>
      <c r="IS39" s="193"/>
      <c r="IT39" s="193"/>
      <c r="IU39" s="193"/>
      <c r="IV39" s="193"/>
    </row>
    <row r="40" spans="1:256" s="208" customFormat="1" ht="16.5" customHeight="1" x14ac:dyDescent="0.2">
      <c r="A40" s="482" t="s">
        <v>421</v>
      </c>
      <c r="B40" s="207"/>
      <c r="C40" s="193"/>
      <c r="D40" s="193"/>
      <c r="E40" s="193"/>
      <c r="F40" s="193"/>
      <c r="G40" s="193"/>
      <c r="H40" s="677"/>
      <c r="I40" s="677"/>
      <c r="J40" s="677"/>
      <c r="K40" s="677"/>
      <c r="L40" s="677"/>
      <c r="M40" s="677"/>
      <c r="N40" s="677"/>
      <c r="O40" s="677"/>
      <c r="P40" s="677"/>
      <c r="Q40" s="677"/>
      <c r="R40" s="677"/>
      <c r="S40" s="677"/>
      <c r="T40" s="677"/>
      <c r="U40" s="677"/>
      <c r="V40" s="677"/>
      <c r="W40" s="677"/>
      <c r="X40" s="677"/>
      <c r="Y40" s="677"/>
      <c r="Z40" s="677"/>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3"/>
      <c r="BR40" s="193"/>
      <c r="BS40" s="193"/>
      <c r="BT40" s="193"/>
      <c r="BU40" s="193"/>
      <c r="BV40" s="193"/>
      <c r="BW40" s="193"/>
      <c r="BX40" s="193"/>
      <c r="BY40" s="193"/>
      <c r="BZ40" s="193"/>
      <c r="CA40" s="193"/>
      <c r="CB40" s="193"/>
      <c r="CC40" s="193"/>
      <c r="CD40" s="193"/>
      <c r="CE40" s="193"/>
      <c r="CF40" s="193"/>
      <c r="CG40" s="193"/>
      <c r="CH40" s="193"/>
      <c r="CI40" s="193"/>
      <c r="CJ40" s="193"/>
      <c r="CK40" s="193"/>
      <c r="CL40" s="193"/>
      <c r="CM40" s="193"/>
      <c r="CN40" s="193"/>
      <c r="CO40" s="193"/>
      <c r="CP40" s="193"/>
      <c r="CQ40" s="193"/>
      <c r="CR40" s="193"/>
      <c r="CS40" s="193"/>
      <c r="CT40" s="193"/>
      <c r="CU40" s="193"/>
      <c r="CV40" s="193"/>
      <c r="CW40" s="193"/>
      <c r="CX40" s="193"/>
      <c r="CY40" s="193"/>
      <c r="CZ40" s="193"/>
      <c r="DA40" s="193"/>
      <c r="DB40" s="193"/>
      <c r="DC40" s="193"/>
      <c r="DD40" s="193"/>
      <c r="DE40" s="193"/>
      <c r="DF40" s="193"/>
      <c r="DG40" s="193"/>
      <c r="DH40" s="193"/>
      <c r="DI40" s="193"/>
      <c r="DJ40" s="193"/>
      <c r="DK40" s="193"/>
      <c r="DL40" s="193"/>
      <c r="DM40" s="193"/>
      <c r="DN40" s="193"/>
      <c r="DO40" s="193"/>
      <c r="DP40" s="193"/>
      <c r="DQ40" s="193"/>
      <c r="DR40" s="193"/>
      <c r="DS40" s="193"/>
      <c r="DT40" s="193"/>
      <c r="DU40" s="193"/>
      <c r="DV40" s="193"/>
      <c r="DW40" s="193"/>
      <c r="DX40" s="193"/>
      <c r="DY40" s="193"/>
      <c r="DZ40" s="193"/>
      <c r="EA40" s="193"/>
      <c r="EB40" s="193"/>
      <c r="EC40" s="193"/>
      <c r="ED40" s="193"/>
      <c r="EE40" s="193"/>
      <c r="EF40" s="193"/>
      <c r="EG40" s="193"/>
      <c r="EH40" s="193"/>
      <c r="EI40" s="193"/>
      <c r="EJ40" s="193"/>
      <c r="EK40" s="193"/>
      <c r="EL40" s="193"/>
      <c r="EM40" s="193"/>
      <c r="EN40" s="193"/>
      <c r="EO40" s="193"/>
      <c r="EP40" s="193"/>
      <c r="EQ40" s="193"/>
      <c r="ER40" s="193"/>
      <c r="ES40" s="193"/>
      <c r="ET40" s="193"/>
      <c r="EU40" s="193"/>
      <c r="EV40" s="193"/>
      <c r="EW40" s="193"/>
      <c r="EX40" s="193"/>
      <c r="EY40" s="193"/>
      <c r="EZ40" s="193"/>
      <c r="FA40" s="193"/>
      <c r="FB40" s="193"/>
      <c r="FC40" s="193"/>
      <c r="FD40" s="193"/>
      <c r="FE40" s="193"/>
      <c r="FF40" s="193"/>
      <c r="FG40" s="193"/>
      <c r="FH40" s="193"/>
      <c r="FI40" s="193"/>
      <c r="FJ40" s="193"/>
      <c r="FK40" s="193"/>
      <c r="FL40" s="193"/>
      <c r="FM40" s="193"/>
      <c r="FN40" s="193"/>
      <c r="FO40" s="193"/>
      <c r="FP40" s="193"/>
      <c r="FQ40" s="193"/>
      <c r="FR40" s="193"/>
      <c r="FS40" s="193"/>
      <c r="FT40" s="193"/>
      <c r="FU40" s="193"/>
      <c r="FV40" s="193"/>
      <c r="FW40" s="193"/>
      <c r="FX40" s="193"/>
      <c r="FY40" s="193"/>
      <c r="FZ40" s="193"/>
      <c r="GA40" s="193"/>
      <c r="GB40" s="193"/>
      <c r="GC40" s="193"/>
      <c r="GD40" s="193"/>
      <c r="GE40" s="193"/>
      <c r="GF40" s="193"/>
      <c r="GG40" s="193"/>
      <c r="GH40" s="193"/>
      <c r="GI40" s="193"/>
      <c r="GJ40" s="193"/>
      <c r="GK40" s="193"/>
      <c r="GL40" s="193"/>
      <c r="GM40" s="193"/>
      <c r="GN40" s="193"/>
      <c r="GO40" s="193"/>
      <c r="GP40" s="193"/>
      <c r="GQ40" s="193"/>
      <c r="GR40" s="193"/>
      <c r="GS40" s="193"/>
      <c r="GT40" s="193"/>
      <c r="GU40" s="193"/>
      <c r="GV40" s="193"/>
      <c r="GW40" s="193"/>
      <c r="GX40" s="193"/>
      <c r="GY40" s="193"/>
      <c r="GZ40" s="193"/>
      <c r="HA40" s="193"/>
      <c r="HB40" s="193"/>
      <c r="HC40" s="193"/>
      <c r="HD40" s="193"/>
      <c r="HE40" s="193"/>
      <c r="HF40" s="193"/>
      <c r="HG40" s="193"/>
      <c r="HH40" s="193"/>
      <c r="HI40" s="193"/>
      <c r="HJ40" s="193"/>
      <c r="HK40" s="193"/>
      <c r="HL40" s="193"/>
      <c r="HM40" s="193"/>
      <c r="HN40" s="193"/>
      <c r="HO40" s="193"/>
      <c r="HP40" s="193"/>
      <c r="HQ40" s="193"/>
      <c r="HR40" s="193"/>
      <c r="HS40" s="193"/>
      <c r="HT40" s="193"/>
      <c r="HU40" s="193"/>
      <c r="HV40" s="193"/>
      <c r="HW40" s="193"/>
      <c r="HX40" s="193"/>
      <c r="HY40" s="193"/>
      <c r="HZ40" s="193"/>
      <c r="IA40" s="193"/>
      <c r="IB40" s="193"/>
      <c r="IC40" s="193"/>
      <c r="ID40" s="193"/>
      <c r="IE40" s="193"/>
      <c r="IF40" s="193"/>
      <c r="IG40" s="193"/>
      <c r="IH40" s="193"/>
      <c r="II40" s="193"/>
      <c r="IJ40" s="193"/>
      <c r="IK40" s="193"/>
      <c r="IL40" s="193"/>
      <c r="IM40" s="193"/>
      <c r="IN40" s="193"/>
      <c r="IO40" s="193"/>
      <c r="IP40" s="193"/>
      <c r="IQ40" s="193"/>
      <c r="IR40" s="193"/>
      <c r="IS40" s="193"/>
      <c r="IT40" s="193"/>
      <c r="IU40" s="193"/>
      <c r="IV40" s="193"/>
    </row>
    <row r="41" spans="1:256" s="224" customFormat="1" ht="16.5" customHeight="1" x14ac:dyDescent="0.2">
      <c r="A41" s="32" t="str">
        <f>'Common-size FS'!A40</f>
        <v>Capital lease obligation–current portion</v>
      </c>
      <c r="B41" s="381">
        <f>'Common-size FS'!B40</f>
        <v>0</v>
      </c>
      <c r="C41" s="381">
        <f>'Common-size FS'!C40</f>
        <v>85</v>
      </c>
      <c r="D41" s="381">
        <f>'Common-size FS'!D40</f>
        <v>97</v>
      </c>
      <c r="E41" s="381">
        <f>'Common-size FS'!E40</f>
        <v>108</v>
      </c>
      <c r="F41" s="381">
        <f>'Common-size FS'!F40</f>
        <v>130</v>
      </c>
      <c r="G41" s="381">
        <f>'Common-size FS'!G40</f>
        <v>156</v>
      </c>
      <c r="H41" s="718"/>
      <c r="I41" s="718"/>
      <c r="J41" s="718"/>
      <c r="K41" s="718"/>
      <c r="L41" s="718"/>
      <c r="M41" s="718"/>
      <c r="N41" s="718"/>
      <c r="O41" s="718"/>
      <c r="P41" s="718"/>
      <c r="Q41" s="718"/>
      <c r="R41" s="718"/>
      <c r="S41" s="718"/>
      <c r="T41" s="718"/>
      <c r="U41" s="718"/>
      <c r="V41" s="718"/>
      <c r="W41" s="718"/>
      <c r="X41" s="718"/>
      <c r="Y41" s="718"/>
      <c r="Z41" s="718"/>
      <c r="AA41" s="96"/>
      <c r="AB41" s="96"/>
      <c r="AC41" s="96"/>
      <c r="AD41" s="96"/>
      <c r="AE41" s="96"/>
      <c r="AF41" s="96"/>
      <c r="AG41" s="96"/>
      <c r="AH41" s="96"/>
      <c r="AI41" s="96"/>
      <c r="AJ41" s="96"/>
      <c r="AK41" s="96"/>
      <c r="AL41" s="96"/>
      <c r="AM41" s="96"/>
      <c r="AN41" s="96"/>
      <c r="AO41" s="96"/>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6"/>
      <c r="BP41" s="96"/>
      <c r="BQ41" s="96"/>
      <c r="BR41" s="96"/>
      <c r="BS41" s="96"/>
      <c r="BT41" s="96"/>
      <c r="BU41" s="96"/>
      <c r="BV41" s="96"/>
      <c r="BW41" s="96"/>
      <c r="BX41" s="96"/>
      <c r="BY41" s="96"/>
      <c r="BZ41" s="96"/>
      <c r="CA41" s="96"/>
      <c r="CB41" s="96"/>
      <c r="CC41" s="96"/>
      <c r="CD41" s="96"/>
      <c r="CE41" s="96"/>
      <c r="CF41" s="96"/>
      <c r="CG41" s="96"/>
      <c r="CH41" s="96"/>
      <c r="CI41" s="96"/>
      <c r="CJ41" s="96"/>
      <c r="CK41" s="96"/>
      <c r="CL41" s="96"/>
      <c r="CM41" s="96"/>
      <c r="CN41" s="96"/>
      <c r="CO41" s="96"/>
      <c r="CP41" s="96"/>
      <c r="CQ41" s="96"/>
      <c r="CR41" s="96"/>
      <c r="CS41" s="96"/>
      <c r="CT41" s="96"/>
      <c r="CU41" s="96"/>
      <c r="CV41" s="96"/>
      <c r="CW41" s="96"/>
      <c r="CX41" s="96"/>
      <c r="CY41" s="96"/>
      <c r="CZ41" s="96"/>
      <c r="DA41" s="96"/>
      <c r="DB41" s="96"/>
      <c r="DC41" s="96"/>
      <c r="DD41" s="96"/>
      <c r="DE41" s="96"/>
      <c r="DF41" s="96"/>
      <c r="DG41" s="96"/>
      <c r="DH41" s="96"/>
      <c r="DI41" s="96"/>
      <c r="DJ41" s="96"/>
      <c r="DK41" s="96"/>
      <c r="DL41" s="96"/>
      <c r="DM41" s="96"/>
      <c r="DN41" s="96"/>
      <c r="DO41" s="96"/>
      <c r="DP41" s="96"/>
      <c r="DQ41" s="96"/>
      <c r="DR41" s="96"/>
      <c r="DS41" s="96"/>
      <c r="DT41" s="96"/>
      <c r="DU41" s="96"/>
      <c r="DV41" s="96"/>
      <c r="DW41" s="96"/>
      <c r="DX41" s="96"/>
      <c r="DY41" s="96"/>
      <c r="DZ41" s="96"/>
      <c r="EA41" s="96"/>
      <c r="EB41" s="96"/>
      <c r="EC41" s="96"/>
      <c r="ED41" s="96"/>
      <c r="EE41" s="96"/>
      <c r="EF41" s="96"/>
      <c r="EG41" s="96"/>
      <c r="EH41" s="96"/>
      <c r="EI41" s="96"/>
      <c r="EJ41" s="96"/>
      <c r="EK41" s="96"/>
      <c r="EL41" s="96"/>
      <c r="EM41" s="96"/>
      <c r="EN41" s="96"/>
      <c r="EO41" s="96"/>
      <c r="EP41" s="96"/>
      <c r="EQ41" s="96"/>
      <c r="ER41" s="96"/>
      <c r="ES41" s="96"/>
      <c r="ET41" s="96"/>
      <c r="EU41" s="96"/>
      <c r="EV41" s="96"/>
      <c r="EW41" s="96"/>
      <c r="EX41" s="96"/>
      <c r="EY41" s="96"/>
      <c r="EZ41" s="96"/>
      <c r="FA41" s="96"/>
      <c r="FB41" s="96"/>
      <c r="FC41" s="96"/>
      <c r="FD41" s="96"/>
      <c r="FE41" s="96"/>
      <c r="FF41" s="96"/>
      <c r="FG41" s="96"/>
      <c r="FH41" s="96"/>
      <c r="FI41" s="96"/>
      <c r="FJ41" s="96"/>
      <c r="FK41" s="96"/>
      <c r="FL41" s="96"/>
      <c r="FM41" s="96"/>
      <c r="FN41" s="96"/>
      <c r="FO41" s="96"/>
      <c r="FP41" s="96"/>
      <c r="FQ41" s="96"/>
      <c r="FR41" s="96"/>
      <c r="FS41" s="96"/>
      <c r="FT41" s="96"/>
      <c r="FU41" s="96"/>
      <c r="FV41" s="96"/>
      <c r="FW41" s="96"/>
      <c r="FX41" s="96"/>
      <c r="FY41" s="96"/>
      <c r="FZ41" s="96"/>
      <c r="GA41" s="96"/>
      <c r="GB41" s="96"/>
      <c r="GC41" s="96"/>
      <c r="GD41" s="96"/>
      <c r="GE41" s="96"/>
      <c r="GF41" s="96"/>
      <c r="GG41" s="96"/>
      <c r="GH41" s="96"/>
      <c r="GI41" s="96"/>
      <c r="GJ41" s="96"/>
      <c r="GK41" s="96"/>
      <c r="GL41" s="96"/>
      <c r="GM41" s="96"/>
      <c r="GN41" s="96"/>
      <c r="GO41" s="96"/>
      <c r="GP41" s="96"/>
      <c r="GQ41" s="96"/>
      <c r="GR41" s="96"/>
      <c r="GS41" s="96"/>
      <c r="GT41" s="96"/>
      <c r="GU41" s="96"/>
      <c r="GV41" s="96"/>
      <c r="GW41" s="96"/>
      <c r="GX41" s="96"/>
      <c r="GY41" s="96"/>
      <c r="GZ41" s="96"/>
      <c r="HA41" s="96"/>
      <c r="HB41" s="96"/>
      <c r="HC41" s="96"/>
      <c r="HD41" s="96"/>
      <c r="HE41" s="96"/>
      <c r="HF41" s="96"/>
      <c r="HG41" s="96"/>
      <c r="HH41" s="96"/>
      <c r="HI41" s="96"/>
      <c r="HJ41" s="96"/>
      <c r="HK41" s="96"/>
      <c r="HL41" s="96"/>
      <c r="HM41" s="96"/>
      <c r="HN41" s="96"/>
      <c r="HO41" s="96"/>
      <c r="HP41" s="96"/>
      <c r="HQ41" s="96"/>
      <c r="HR41" s="96"/>
      <c r="HS41" s="96"/>
      <c r="HT41" s="96"/>
      <c r="HU41" s="96"/>
      <c r="HV41" s="96"/>
      <c r="HW41" s="96"/>
      <c r="HX41" s="96"/>
      <c r="HY41" s="96"/>
      <c r="HZ41" s="96"/>
      <c r="IA41" s="96"/>
      <c r="IB41" s="96"/>
      <c r="IC41" s="96"/>
      <c r="ID41" s="96"/>
      <c r="IE41" s="96"/>
      <c r="IF41" s="96"/>
      <c r="IG41" s="96"/>
      <c r="IH41" s="96"/>
      <c r="II41" s="96"/>
      <c r="IJ41" s="96"/>
      <c r="IK41" s="96"/>
      <c r="IL41" s="96"/>
      <c r="IM41" s="96"/>
      <c r="IN41" s="96"/>
      <c r="IO41" s="96"/>
      <c r="IP41" s="96"/>
      <c r="IQ41" s="96"/>
      <c r="IR41" s="96"/>
      <c r="IS41" s="96"/>
      <c r="IT41" s="96"/>
      <c r="IU41" s="96"/>
      <c r="IV41" s="96"/>
    </row>
    <row r="42" spans="1:256" s="224" customFormat="1" ht="16.5" customHeight="1" x14ac:dyDescent="0.2">
      <c r="A42" s="32" t="str">
        <f>'Common-size FS'!A41</f>
        <v>Bonds–current portion</v>
      </c>
      <c r="B42" s="32">
        <f>'Common-size FS'!B41</f>
        <v>0</v>
      </c>
      <c r="C42" s="32">
        <f>'Common-size FS'!C41</f>
        <v>0</v>
      </c>
      <c r="D42" s="32">
        <f>'Common-size FS'!D41</f>
        <v>0</v>
      </c>
      <c r="E42" s="32">
        <f>'Common-size FS'!E41</f>
        <v>0</v>
      </c>
      <c r="F42" s="32">
        <f>'Common-size FS'!F41</f>
        <v>0</v>
      </c>
      <c r="G42" s="32">
        <f>'Common-size FS'!G41</f>
        <v>0</v>
      </c>
      <c r="H42" s="718"/>
      <c r="I42" s="718"/>
      <c r="J42" s="718"/>
      <c r="K42" s="718"/>
      <c r="L42" s="718"/>
      <c r="M42" s="718"/>
      <c r="N42" s="718"/>
      <c r="O42" s="718"/>
      <c r="P42" s="718"/>
      <c r="Q42" s="718"/>
      <c r="R42" s="718"/>
      <c r="S42" s="718"/>
      <c r="T42" s="718"/>
      <c r="U42" s="718"/>
      <c r="V42" s="718"/>
      <c r="W42" s="718"/>
      <c r="X42" s="718"/>
      <c r="Y42" s="718"/>
      <c r="Z42" s="718"/>
      <c r="AA42" s="96"/>
      <c r="AB42" s="96"/>
      <c r="AC42" s="96"/>
      <c r="AD42" s="96"/>
      <c r="AE42" s="96"/>
      <c r="AF42" s="96"/>
      <c r="AG42" s="96"/>
      <c r="AH42" s="96"/>
      <c r="AI42" s="96"/>
      <c r="AJ42" s="96"/>
      <c r="AK42" s="96"/>
      <c r="AL42" s="96"/>
      <c r="AM42" s="96"/>
      <c r="AN42" s="96"/>
      <c r="AO42" s="96"/>
      <c r="AP42" s="96"/>
      <c r="AQ42" s="96"/>
      <c r="AR42" s="96"/>
      <c r="AS42" s="96"/>
      <c r="AT42" s="96"/>
      <c r="AU42" s="96"/>
      <c r="AV42" s="96"/>
      <c r="AW42" s="96"/>
      <c r="AX42" s="96"/>
      <c r="AY42" s="96"/>
      <c r="AZ42" s="96"/>
      <c r="BA42" s="96"/>
      <c r="BB42" s="96"/>
      <c r="BC42" s="96"/>
      <c r="BD42" s="96"/>
      <c r="BE42" s="96"/>
      <c r="BF42" s="96"/>
      <c r="BG42" s="96"/>
      <c r="BH42" s="96"/>
      <c r="BI42" s="96"/>
      <c r="BJ42" s="96"/>
      <c r="BK42" s="96"/>
      <c r="BL42" s="96"/>
      <c r="BM42" s="96"/>
      <c r="BN42" s="96"/>
      <c r="BO42" s="96"/>
      <c r="BP42" s="96"/>
      <c r="BQ42" s="96"/>
      <c r="BR42" s="96"/>
      <c r="BS42" s="96"/>
      <c r="BT42" s="96"/>
      <c r="BU42" s="96"/>
      <c r="BV42" s="96"/>
      <c r="BW42" s="96"/>
      <c r="BX42" s="96"/>
      <c r="BY42" s="96"/>
      <c r="BZ42" s="96"/>
      <c r="CA42" s="96"/>
      <c r="CB42" s="96"/>
      <c r="CC42" s="96"/>
      <c r="CD42" s="96"/>
      <c r="CE42" s="96"/>
      <c r="CF42" s="96"/>
      <c r="CG42" s="96"/>
      <c r="CH42" s="96"/>
      <c r="CI42" s="96"/>
      <c r="CJ42" s="96"/>
      <c r="CK42" s="96"/>
      <c r="CL42" s="96"/>
      <c r="CM42" s="96"/>
      <c r="CN42" s="96"/>
      <c r="CO42" s="96"/>
      <c r="CP42" s="96"/>
      <c r="CQ42" s="96"/>
      <c r="CR42" s="96"/>
      <c r="CS42" s="96"/>
      <c r="CT42" s="96"/>
      <c r="CU42" s="96"/>
      <c r="CV42" s="96"/>
      <c r="CW42" s="96"/>
      <c r="CX42" s="96"/>
      <c r="CY42" s="96"/>
      <c r="CZ42" s="96"/>
      <c r="DA42" s="96"/>
      <c r="DB42" s="96"/>
      <c r="DC42" s="96"/>
      <c r="DD42" s="96"/>
      <c r="DE42" s="96"/>
      <c r="DF42" s="96"/>
      <c r="DG42" s="96"/>
      <c r="DH42" s="96"/>
      <c r="DI42" s="96"/>
      <c r="DJ42" s="96"/>
      <c r="DK42" s="96"/>
      <c r="DL42" s="96"/>
      <c r="DM42" s="96"/>
      <c r="DN42" s="96"/>
      <c r="DO42" s="96"/>
      <c r="DP42" s="96"/>
      <c r="DQ42" s="96"/>
      <c r="DR42" s="96"/>
      <c r="DS42" s="96"/>
      <c r="DT42" s="96"/>
      <c r="DU42" s="96"/>
      <c r="DV42" s="96"/>
      <c r="DW42" s="96"/>
      <c r="DX42" s="96"/>
      <c r="DY42" s="96"/>
      <c r="DZ42" s="96"/>
      <c r="EA42" s="96"/>
      <c r="EB42" s="96"/>
      <c r="EC42" s="96"/>
      <c r="ED42" s="96"/>
      <c r="EE42" s="96"/>
      <c r="EF42" s="96"/>
      <c r="EG42" s="96"/>
      <c r="EH42" s="96"/>
      <c r="EI42" s="96"/>
      <c r="EJ42" s="96"/>
      <c r="EK42" s="96"/>
      <c r="EL42" s="96"/>
      <c r="EM42" s="96"/>
      <c r="EN42" s="96"/>
      <c r="EO42" s="96"/>
      <c r="EP42" s="96"/>
      <c r="EQ42" s="96"/>
      <c r="ER42" s="96"/>
      <c r="ES42" s="96"/>
      <c r="ET42" s="96"/>
      <c r="EU42" s="96"/>
      <c r="EV42" s="96"/>
      <c r="EW42" s="96"/>
      <c r="EX42" s="96"/>
      <c r="EY42" s="96"/>
      <c r="EZ42" s="96"/>
      <c r="FA42" s="96"/>
      <c r="FB42" s="96"/>
      <c r="FC42" s="96"/>
      <c r="FD42" s="96"/>
      <c r="FE42" s="96"/>
      <c r="FF42" s="96"/>
      <c r="FG42" s="96"/>
      <c r="FH42" s="96"/>
      <c r="FI42" s="96"/>
      <c r="FJ42" s="96"/>
      <c r="FK42" s="96"/>
      <c r="FL42" s="96"/>
      <c r="FM42" s="96"/>
      <c r="FN42" s="96"/>
      <c r="FO42" s="96"/>
      <c r="FP42" s="96"/>
      <c r="FQ42" s="96"/>
      <c r="FR42" s="96"/>
      <c r="FS42" s="96"/>
      <c r="FT42" s="96"/>
      <c r="FU42" s="96"/>
      <c r="FV42" s="96"/>
      <c r="FW42" s="96"/>
      <c r="FX42" s="96"/>
      <c r="FY42" s="96"/>
      <c r="FZ42" s="96"/>
      <c r="GA42" s="96"/>
      <c r="GB42" s="96"/>
      <c r="GC42" s="96"/>
      <c r="GD42" s="96"/>
      <c r="GE42" s="96"/>
      <c r="GF42" s="96"/>
      <c r="GG42" s="96"/>
      <c r="GH42" s="96"/>
      <c r="GI42" s="96"/>
      <c r="GJ42" s="96"/>
      <c r="GK42" s="96"/>
      <c r="GL42" s="96"/>
      <c r="GM42" s="96"/>
      <c r="GN42" s="96"/>
      <c r="GO42" s="96"/>
      <c r="GP42" s="96"/>
      <c r="GQ42" s="96"/>
      <c r="GR42" s="96"/>
      <c r="GS42" s="96"/>
      <c r="GT42" s="96"/>
      <c r="GU42" s="96"/>
      <c r="GV42" s="96"/>
      <c r="GW42" s="96"/>
      <c r="GX42" s="96"/>
      <c r="GY42" s="96"/>
      <c r="GZ42" s="96"/>
      <c r="HA42" s="96"/>
      <c r="HB42" s="96"/>
      <c r="HC42" s="96"/>
      <c r="HD42" s="96"/>
      <c r="HE42" s="96"/>
      <c r="HF42" s="96"/>
      <c r="HG42" s="96"/>
      <c r="HH42" s="96"/>
      <c r="HI42" s="96"/>
      <c r="HJ42" s="96"/>
      <c r="HK42" s="96"/>
      <c r="HL42" s="96"/>
      <c r="HM42" s="96"/>
      <c r="HN42" s="96"/>
      <c r="HO42" s="96"/>
      <c r="HP42" s="96"/>
      <c r="HQ42" s="96"/>
      <c r="HR42" s="96"/>
      <c r="HS42" s="96"/>
      <c r="HT42" s="96"/>
      <c r="HU42" s="96"/>
      <c r="HV42" s="96"/>
      <c r="HW42" s="96"/>
      <c r="HX42" s="96"/>
      <c r="HY42" s="96"/>
      <c r="HZ42" s="96"/>
      <c r="IA42" s="96"/>
      <c r="IB42" s="96"/>
      <c r="IC42" s="96"/>
      <c r="ID42" s="96"/>
      <c r="IE42" s="96"/>
      <c r="IF42" s="96"/>
      <c r="IG42" s="96"/>
      <c r="IH42" s="96"/>
      <c r="II42" s="96"/>
      <c r="IJ42" s="96"/>
      <c r="IK42" s="96"/>
      <c r="IL42" s="96"/>
      <c r="IM42" s="96"/>
      <c r="IN42" s="96"/>
      <c r="IO42" s="96"/>
      <c r="IP42" s="96"/>
      <c r="IQ42" s="96"/>
      <c r="IR42" s="96"/>
      <c r="IS42" s="96"/>
      <c r="IT42" s="96"/>
      <c r="IU42" s="96"/>
      <c r="IV42" s="96"/>
    </row>
    <row r="43" spans="1:256" s="224" customFormat="1" ht="16.5" customHeight="1" x14ac:dyDescent="0.2">
      <c r="A43" s="32" t="str">
        <f>'Common-size FS'!A42</f>
        <v>Notes and loans payable–current</v>
      </c>
      <c r="B43" s="32">
        <f>'Common-size FS'!B42</f>
        <v>6</v>
      </c>
      <c r="C43" s="32">
        <f>'Common-size FS'!C42</f>
        <v>506</v>
      </c>
      <c r="D43" s="32">
        <f>'Common-size FS'!D42</f>
        <v>7</v>
      </c>
      <c r="E43" s="32">
        <f>'Common-size FS'!E42</f>
        <v>7</v>
      </c>
      <c r="F43" s="32">
        <f>'Common-size FS'!F42</f>
        <v>8</v>
      </c>
      <c r="G43" s="32">
        <f>'Common-size FS'!G42</f>
        <v>10</v>
      </c>
      <c r="H43" s="718"/>
      <c r="I43" s="718"/>
      <c r="J43" s="718"/>
      <c r="K43" s="718"/>
      <c r="L43" s="718"/>
      <c r="M43" s="718"/>
      <c r="N43" s="718"/>
      <c r="O43" s="718"/>
      <c r="P43" s="718"/>
      <c r="Q43" s="718"/>
      <c r="R43" s="718"/>
      <c r="S43" s="718"/>
      <c r="T43" s="718"/>
      <c r="U43" s="718"/>
      <c r="V43" s="718"/>
      <c r="W43" s="718"/>
      <c r="X43" s="718"/>
      <c r="Y43" s="718"/>
      <c r="Z43" s="718"/>
      <c r="AA43" s="96"/>
      <c r="AB43" s="96"/>
      <c r="AC43" s="96"/>
      <c r="AD43" s="96"/>
      <c r="AE43" s="96"/>
      <c r="AF43" s="96"/>
      <c r="AG43" s="96"/>
      <c r="AH43" s="96"/>
      <c r="AI43" s="96"/>
      <c r="AJ43" s="96"/>
      <c r="AK43" s="96"/>
      <c r="AL43" s="96"/>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c r="CA43" s="96"/>
      <c r="CB43" s="96"/>
      <c r="CC43" s="96"/>
      <c r="CD43" s="96"/>
      <c r="CE43" s="96"/>
      <c r="CF43" s="96"/>
      <c r="CG43" s="96"/>
      <c r="CH43" s="96"/>
      <c r="CI43" s="96"/>
      <c r="CJ43" s="96"/>
      <c r="CK43" s="96"/>
      <c r="CL43" s="96"/>
      <c r="CM43" s="96"/>
      <c r="CN43" s="96"/>
      <c r="CO43" s="96"/>
      <c r="CP43" s="96"/>
      <c r="CQ43" s="96"/>
      <c r="CR43" s="96"/>
      <c r="CS43" s="96"/>
      <c r="CT43" s="96"/>
      <c r="CU43" s="96"/>
      <c r="CV43" s="96"/>
      <c r="CW43" s="96"/>
      <c r="CX43" s="96"/>
      <c r="CY43" s="96"/>
      <c r="CZ43" s="96"/>
      <c r="DA43" s="96"/>
      <c r="DB43" s="96"/>
      <c r="DC43" s="96"/>
      <c r="DD43" s="96"/>
      <c r="DE43" s="96"/>
      <c r="DF43" s="96"/>
      <c r="DG43" s="96"/>
      <c r="DH43" s="96"/>
      <c r="DI43" s="96"/>
      <c r="DJ43" s="96"/>
      <c r="DK43" s="96"/>
      <c r="DL43" s="96"/>
      <c r="DM43" s="96"/>
      <c r="DN43" s="96"/>
      <c r="DO43" s="96"/>
      <c r="DP43" s="96"/>
      <c r="DQ43" s="96"/>
      <c r="DR43" s="96"/>
      <c r="DS43" s="96"/>
      <c r="DT43" s="96"/>
      <c r="DU43" s="96"/>
      <c r="DV43" s="96"/>
      <c r="DW43" s="96"/>
      <c r="DX43" s="96"/>
      <c r="DY43" s="96"/>
      <c r="DZ43" s="96"/>
      <c r="EA43" s="96"/>
      <c r="EB43" s="96"/>
      <c r="EC43" s="96"/>
      <c r="ED43" s="96"/>
      <c r="EE43" s="96"/>
      <c r="EF43" s="96"/>
      <c r="EG43" s="96"/>
      <c r="EH43" s="96"/>
      <c r="EI43" s="96"/>
      <c r="EJ43" s="96"/>
      <c r="EK43" s="96"/>
      <c r="EL43" s="96"/>
      <c r="EM43" s="96"/>
      <c r="EN43" s="96"/>
      <c r="EO43" s="96"/>
      <c r="EP43" s="96"/>
      <c r="EQ43" s="96"/>
      <c r="ER43" s="96"/>
      <c r="ES43" s="96"/>
      <c r="ET43" s="96"/>
      <c r="EU43" s="96"/>
      <c r="EV43" s="96"/>
      <c r="EW43" s="96"/>
      <c r="EX43" s="96"/>
      <c r="EY43" s="96"/>
      <c r="EZ43" s="96"/>
      <c r="FA43" s="96"/>
      <c r="FB43" s="96"/>
      <c r="FC43" s="96"/>
      <c r="FD43" s="96"/>
      <c r="FE43" s="96"/>
      <c r="FF43" s="96"/>
      <c r="FG43" s="96"/>
      <c r="FH43" s="96"/>
      <c r="FI43" s="96"/>
      <c r="FJ43" s="96"/>
      <c r="FK43" s="96"/>
      <c r="FL43" s="96"/>
      <c r="FM43" s="96"/>
      <c r="FN43" s="96"/>
      <c r="FO43" s="96"/>
      <c r="FP43" s="96"/>
      <c r="FQ43" s="96"/>
      <c r="FR43" s="96"/>
      <c r="FS43" s="96"/>
      <c r="FT43" s="96"/>
      <c r="FU43" s="96"/>
      <c r="FV43" s="96"/>
      <c r="FW43" s="96"/>
      <c r="FX43" s="96"/>
      <c r="FY43" s="96"/>
      <c r="FZ43" s="96"/>
      <c r="GA43" s="96"/>
      <c r="GB43" s="96"/>
      <c r="GC43" s="96"/>
      <c r="GD43" s="96"/>
      <c r="GE43" s="96"/>
      <c r="GF43" s="96"/>
      <c r="GG43" s="96"/>
      <c r="GH43" s="96"/>
      <c r="GI43" s="96"/>
      <c r="GJ43" s="96"/>
      <c r="GK43" s="96"/>
      <c r="GL43" s="96"/>
      <c r="GM43" s="96"/>
      <c r="GN43" s="96"/>
      <c r="GO43" s="96"/>
      <c r="GP43" s="96"/>
      <c r="GQ43" s="96"/>
      <c r="GR43" s="96"/>
      <c r="GS43" s="96"/>
      <c r="GT43" s="96"/>
      <c r="GU43" s="96"/>
      <c r="GV43" s="96"/>
      <c r="GW43" s="96"/>
      <c r="GX43" s="96"/>
      <c r="GY43" s="96"/>
      <c r="GZ43" s="96"/>
      <c r="HA43" s="96"/>
      <c r="HB43" s="96"/>
      <c r="HC43" s="96"/>
      <c r="HD43" s="96"/>
      <c r="HE43" s="96"/>
      <c r="HF43" s="96"/>
      <c r="HG43" s="96"/>
      <c r="HH43" s="96"/>
      <c r="HI43" s="96"/>
      <c r="HJ43" s="96"/>
      <c r="HK43" s="96"/>
      <c r="HL43" s="96"/>
      <c r="HM43" s="96"/>
      <c r="HN43" s="96"/>
      <c r="HO43" s="96"/>
      <c r="HP43" s="96"/>
      <c r="HQ43" s="96"/>
      <c r="HR43" s="96"/>
      <c r="HS43" s="96"/>
      <c r="HT43" s="96"/>
      <c r="HU43" s="96"/>
      <c r="HV43" s="96"/>
      <c r="HW43" s="96"/>
      <c r="HX43" s="96"/>
      <c r="HY43" s="96"/>
      <c r="HZ43" s="96"/>
      <c r="IA43" s="96"/>
      <c r="IB43" s="96"/>
      <c r="IC43" s="96"/>
      <c r="ID43" s="96"/>
      <c r="IE43" s="96"/>
      <c r="IF43" s="96"/>
      <c r="IG43" s="96"/>
      <c r="IH43" s="96"/>
      <c r="II43" s="96"/>
      <c r="IJ43" s="96"/>
      <c r="IK43" s="96"/>
      <c r="IL43" s="96"/>
      <c r="IM43" s="96"/>
      <c r="IN43" s="96"/>
      <c r="IO43" s="96"/>
      <c r="IP43" s="96"/>
      <c r="IQ43" s="96"/>
      <c r="IR43" s="96"/>
      <c r="IS43" s="96"/>
      <c r="IT43" s="96"/>
      <c r="IU43" s="96"/>
      <c r="IV43" s="96"/>
    </row>
    <row r="44" spans="1:256" s="224" customFormat="1" ht="16.5" customHeight="1" x14ac:dyDescent="0.2">
      <c r="A44" s="32" t="str">
        <f>'Common-size FS'!A45</f>
        <v>Notes and loans payable–noncurrent</v>
      </c>
      <c r="B44" s="32">
        <f>'Common-size FS'!B45</f>
        <v>2775</v>
      </c>
      <c r="C44" s="32">
        <f>'Common-size FS'!C45</f>
        <v>3141</v>
      </c>
      <c r="D44" s="32">
        <f>'Common-size FS'!D45</f>
        <v>3124</v>
      </c>
      <c r="E44" s="32">
        <f>'Common-size FS'!E45</f>
        <v>3106</v>
      </c>
      <c r="F44" s="32">
        <f>'Common-size FS'!F45</f>
        <v>3123</v>
      </c>
      <c r="G44" s="32">
        <f>'Common-size FS'!G45</f>
        <v>2795</v>
      </c>
      <c r="H44" s="718"/>
      <c r="I44" s="718"/>
      <c r="J44" s="718"/>
      <c r="K44" s="718"/>
      <c r="L44" s="718"/>
      <c r="M44" s="718"/>
      <c r="N44" s="718"/>
      <c r="O44" s="718"/>
      <c r="P44" s="718"/>
      <c r="Q44" s="718"/>
      <c r="R44" s="718"/>
      <c r="S44" s="718"/>
      <c r="T44" s="718"/>
      <c r="U44" s="718"/>
      <c r="V44" s="718"/>
      <c r="W44" s="718"/>
      <c r="X44" s="718"/>
      <c r="Y44" s="718"/>
      <c r="Z44" s="718"/>
      <c r="AA44" s="96"/>
      <c r="AB44" s="96"/>
      <c r="AC44" s="96"/>
      <c r="AD44" s="96"/>
      <c r="AE44" s="96"/>
      <c r="AF44" s="96"/>
      <c r="AG44" s="96"/>
      <c r="AH44" s="96"/>
      <c r="AI44" s="96"/>
      <c r="AJ44" s="96"/>
      <c r="AK44" s="96"/>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96"/>
      <c r="CK44" s="96"/>
      <c r="CL44" s="96"/>
      <c r="CM44" s="96"/>
      <c r="CN44" s="96"/>
      <c r="CO44" s="96"/>
      <c r="CP44" s="96"/>
      <c r="CQ44" s="96"/>
      <c r="CR44" s="96"/>
      <c r="CS44" s="96"/>
      <c r="CT44" s="96"/>
      <c r="CU44" s="96"/>
      <c r="CV44" s="96"/>
      <c r="CW44" s="96"/>
      <c r="CX44" s="96"/>
      <c r="CY44" s="96"/>
      <c r="CZ44" s="96"/>
      <c r="DA44" s="96"/>
      <c r="DB44" s="96"/>
      <c r="DC44" s="96"/>
      <c r="DD44" s="96"/>
      <c r="DE44" s="96"/>
      <c r="DF44" s="96"/>
      <c r="DG44" s="96"/>
      <c r="DH44" s="96"/>
      <c r="DI44" s="96"/>
      <c r="DJ44" s="96"/>
      <c r="DK44" s="96"/>
      <c r="DL44" s="96"/>
      <c r="DM44" s="96"/>
      <c r="DN44" s="96"/>
      <c r="DO44" s="96"/>
      <c r="DP44" s="96"/>
      <c r="DQ44" s="96"/>
      <c r="DR44" s="96"/>
      <c r="DS44" s="96"/>
      <c r="DT44" s="96"/>
      <c r="DU44" s="96"/>
      <c r="DV44" s="96"/>
      <c r="DW44" s="96"/>
      <c r="DX44" s="96"/>
      <c r="DY44" s="96"/>
      <c r="DZ44" s="96"/>
      <c r="EA44" s="96"/>
      <c r="EB44" s="96"/>
      <c r="EC44" s="96"/>
      <c r="ED44" s="96"/>
      <c r="EE44" s="96"/>
      <c r="EF44" s="96"/>
      <c r="EG44" s="96"/>
      <c r="EH44" s="96"/>
      <c r="EI44" s="96"/>
      <c r="EJ44" s="96"/>
      <c r="EK44" s="96"/>
      <c r="EL44" s="96"/>
      <c r="EM44" s="96"/>
      <c r="EN44" s="96"/>
      <c r="EO44" s="96"/>
      <c r="EP44" s="96"/>
      <c r="EQ44" s="96"/>
      <c r="ER44" s="96"/>
      <c r="ES44" s="96"/>
      <c r="ET44" s="96"/>
      <c r="EU44" s="96"/>
      <c r="EV44" s="96"/>
      <c r="EW44" s="96"/>
      <c r="EX44" s="96"/>
      <c r="EY44" s="96"/>
      <c r="EZ44" s="96"/>
      <c r="FA44" s="96"/>
      <c r="FB44" s="96"/>
      <c r="FC44" s="96"/>
      <c r="FD44" s="96"/>
      <c r="FE44" s="96"/>
      <c r="FF44" s="96"/>
      <c r="FG44" s="96"/>
      <c r="FH44" s="96"/>
      <c r="FI44" s="96"/>
      <c r="FJ44" s="96"/>
      <c r="FK44" s="96"/>
      <c r="FL44" s="96"/>
      <c r="FM44" s="96"/>
      <c r="FN44" s="96"/>
      <c r="FO44" s="96"/>
      <c r="FP44" s="96"/>
      <c r="FQ44" s="96"/>
      <c r="FR44" s="96"/>
      <c r="FS44" s="96"/>
      <c r="FT44" s="96"/>
      <c r="FU44" s="96"/>
      <c r="FV44" s="96"/>
      <c r="FW44" s="96"/>
      <c r="FX44" s="96"/>
      <c r="FY44" s="96"/>
      <c r="FZ44" s="96"/>
      <c r="GA44" s="96"/>
      <c r="GB44" s="96"/>
      <c r="GC44" s="96"/>
      <c r="GD44" s="96"/>
      <c r="GE44" s="96"/>
      <c r="GF44" s="96"/>
      <c r="GG44" s="96"/>
      <c r="GH44" s="96"/>
      <c r="GI44" s="96"/>
      <c r="GJ44" s="96"/>
      <c r="GK44" s="96"/>
      <c r="GL44" s="96"/>
      <c r="GM44" s="96"/>
      <c r="GN44" s="96"/>
      <c r="GO44" s="96"/>
      <c r="GP44" s="96"/>
      <c r="GQ44" s="96"/>
      <c r="GR44" s="96"/>
      <c r="GS44" s="96"/>
      <c r="GT44" s="96"/>
      <c r="GU44" s="96"/>
      <c r="GV44" s="96"/>
      <c r="GW44" s="96"/>
      <c r="GX44" s="96"/>
      <c r="GY44" s="96"/>
      <c r="GZ44" s="96"/>
      <c r="HA44" s="96"/>
      <c r="HB44" s="96"/>
      <c r="HC44" s="96"/>
      <c r="HD44" s="96"/>
      <c r="HE44" s="96"/>
      <c r="HF44" s="96"/>
      <c r="HG44" s="96"/>
      <c r="HH44" s="96"/>
      <c r="HI44" s="96"/>
      <c r="HJ44" s="96"/>
      <c r="HK44" s="96"/>
      <c r="HL44" s="96"/>
      <c r="HM44" s="96"/>
      <c r="HN44" s="96"/>
      <c r="HO44" s="96"/>
      <c r="HP44" s="96"/>
      <c r="HQ44" s="96"/>
      <c r="HR44" s="96"/>
      <c r="HS44" s="96"/>
      <c r="HT44" s="96"/>
      <c r="HU44" s="96"/>
      <c r="HV44" s="96"/>
      <c r="HW44" s="96"/>
      <c r="HX44" s="96"/>
      <c r="HY44" s="96"/>
      <c r="HZ44" s="96"/>
      <c r="IA44" s="96"/>
      <c r="IB44" s="96"/>
      <c r="IC44" s="96"/>
      <c r="ID44" s="96"/>
      <c r="IE44" s="96"/>
      <c r="IF44" s="96"/>
      <c r="IG44" s="96"/>
      <c r="IH44" s="96"/>
      <c r="II44" s="96"/>
      <c r="IJ44" s="96"/>
      <c r="IK44" s="96"/>
      <c r="IL44" s="96"/>
      <c r="IM44" s="96"/>
      <c r="IN44" s="96"/>
      <c r="IO44" s="96"/>
      <c r="IP44" s="96"/>
      <c r="IQ44" s="96"/>
      <c r="IR44" s="96"/>
      <c r="IS44" s="96"/>
      <c r="IT44" s="96"/>
      <c r="IU44" s="96"/>
      <c r="IV44" s="96"/>
    </row>
    <row r="45" spans="1:256" s="224" customFormat="1" ht="16.5" customHeight="1" x14ac:dyDescent="0.2">
      <c r="A45" s="32" t="str">
        <f>'Common-size FS'!A46</f>
        <v xml:space="preserve">Capital lease obligation–noncurrent </v>
      </c>
      <c r="B45" s="32">
        <f>'Common-size FS'!B46</f>
        <v>0</v>
      </c>
      <c r="C45" s="32">
        <f>'Common-size FS'!C46</f>
        <v>766</v>
      </c>
      <c r="D45" s="32">
        <f>'Common-size FS'!D46</f>
        <v>1173</v>
      </c>
      <c r="E45" s="32">
        <f>'Common-size FS'!E46</f>
        <v>1457</v>
      </c>
      <c r="F45" s="32">
        <f>'Common-size FS'!F46</f>
        <v>1696</v>
      </c>
      <c r="G45" s="32">
        <f>'Common-size FS'!G46</f>
        <v>2054</v>
      </c>
      <c r="H45" s="718"/>
      <c r="I45" s="718"/>
      <c r="J45" s="718"/>
      <c r="K45" s="718"/>
      <c r="L45" s="718"/>
      <c r="M45" s="718"/>
      <c r="N45" s="718"/>
      <c r="O45" s="718"/>
      <c r="P45" s="718"/>
      <c r="Q45" s="718"/>
      <c r="R45" s="718"/>
      <c r="S45" s="718"/>
      <c r="T45" s="718"/>
      <c r="U45" s="718"/>
      <c r="V45" s="718"/>
      <c r="W45" s="718"/>
      <c r="X45" s="718"/>
      <c r="Y45" s="718"/>
      <c r="Z45" s="718"/>
      <c r="AA45" s="96"/>
      <c r="AB45" s="96"/>
      <c r="AC45" s="96"/>
      <c r="AD45" s="96"/>
      <c r="AE45" s="96"/>
      <c r="AF45" s="96"/>
      <c r="AG45" s="96"/>
      <c r="AH45" s="96"/>
      <c r="AI45" s="96"/>
      <c r="AJ45" s="96"/>
      <c r="AK45" s="96"/>
      <c r="AL45" s="96"/>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c r="CA45" s="96"/>
      <c r="CB45" s="96"/>
      <c r="CC45" s="96"/>
      <c r="CD45" s="96"/>
      <c r="CE45" s="96"/>
      <c r="CF45" s="96"/>
      <c r="CG45" s="96"/>
      <c r="CH45" s="96"/>
      <c r="CI45" s="96"/>
      <c r="CJ45" s="96"/>
      <c r="CK45" s="96"/>
      <c r="CL45" s="96"/>
      <c r="CM45" s="96"/>
      <c r="CN45" s="96"/>
      <c r="CO45" s="96"/>
      <c r="CP45" s="96"/>
      <c r="CQ45" s="96"/>
      <c r="CR45" s="96"/>
      <c r="CS45" s="96"/>
      <c r="CT45" s="96"/>
      <c r="CU45" s="96"/>
      <c r="CV45" s="96"/>
      <c r="CW45" s="96"/>
      <c r="CX45" s="96"/>
      <c r="CY45" s="96"/>
      <c r="CZ45" s="96"/>
      <c r="DA45" s="96"/>
      <c r="DB45" s="96"/>
      <c r="DC45" s="96"/>
      <c r="DD45" s="96"/>
      <c r="DE45" s="96"/>
      <c r="DF45" s="96"/>
      <c r="DG45" s="96"/>
      <c r="DH45" s="96"/>
      <c r="DI45" s="96"/>
      <c r="DJ45" s="96"/>
      <c r="DK45" s="96"/>
      <c r="DL45" s="96"/>
      <c r="DM45" s="96"/>
      <c r="DN45" s="96"/>
      <c r="DO45" s="96"/>
      <c r="DP45" s="96"/>
      <c r="DQ45" s="96"/>
      <c r="DR45" s="96"/>
      <c r="DS45" s="96"/>
      <c r="DT45" s="96"/>
      <c r="DU45" s="96"/>
      <c r="DV45" s="96"/>
      <c r="DW45" s="96"/>
      <c r="DX45" s="96"/>
      <c r="DY45" s="96"/>
      <c r="DZ45" s="96"/>
      <c r="EA45" s="96"/>
      <c r="EB45" s="96"/>
      <c r="EC45" s="96"/>
      <c r="ED45" s="96"/>
      <c r="EE45" s="96"/>
      <c r="EF45" s="96"/>
      <c r="EG45" s="96"/>
      <c r="EH45" s="96"/>
      <c r="EI45" s="96"/>
      <c r="EJ45" s="96"/>
      <c r="EK45" s="96"/>
      <c r="EL45" s="96"/>
      <c r="EM45" s="96"/>
      <c r="EN45" s="96"/>
      <c r="EO45" s="96"/>
      <c r="EP45" s="96"/>
      <c r="EQ45" s="96"/>
      <c r="ER45" s="96"/>
      <c r="ES45" s="96"/>
      <c r="ET45" s="96"/>
      <c r="EU45" s="96"/>
      <c r="EV45" s="96"/>
      <c r="EW45" s="96"/>
      <c r="EX45" s="96"/>
      <c r="EY45" s="96"/>
      <c r="EZ45" s="96"/>
      <c r="FA45" s="96"/>
      <c r="FB45" s="96"/>
      <c r="FC45" s="96"/>
      <c r="FD45" s="96"/>
      <c r="FE45" s="96"/>
      <c r="FF45" s="96"/>
      <c r="FG45" s="96"/>
      <c r="FH45" s="96"/>
      <c r="FI45" s="96"/>
      <c r="FJ45" s="96"/>
      <c r="FK45" s="96"/>
      <c r="FL45" s="96"/>
      <c r="FM45" s="96"/>
      <c r="FN45" s="96"/>
      <c r="FO45" s="96"/>
      <c r="FP45" s="96"/>
      <c r="FQ45" s="96"/>
      <c r="FR45" s="96"/>
      <c r="FS45" s="96"/>
      <c r="FT45" s="96"/>
      <c r="FU45" s="96"/>
      <c r="FV45" s="96"/>
      <c r="FW45" s="96"/>
      <c r="FX45" s="96"/>
      <c r="FY45" s="96"/>
      <c r="FZ45" s="96"/>
      <c r="GA45" s="96"/>
      <c r="GB45" s="96"/>
      <c r="GC45" s="96"/>
      <c r="GD45" s="96"/>
      <c r="GE45" s="96"/>
      <c r="GF45" s="96"/>
      <c r="GG45" s="96"/>
      <c r="GH45" s="96"/>
      <c r="GI45" s="96"/>
      <c r="GJ45" s="96"/>
      <c r="GK45" s="96"/>
      <c r="GL45" s="96"/>
      <c r="GM45" s="96"/>
      <c r="GN45" s="96"/>
      <c r="GO45" s="96"/>
      <c r="GP45" s="96"/>
      <c r="GQ45" s="96"/>
      <c r="GR45" s="96"/>
      <c r="GS45" s="96"/>
      <c r="GT45" s="96"/>
      <c r="GU45" s="96"/>
      <c r="GV45" s="96"/>
      <c r="GW45" s="96"/>
      <c r="GX45" s="96"/>
      <c r="GY45" s="96"/>
      <c r="GZ45" s="96"/>
      <c r="HA45" s="96"/>
      <c r="HB45" s="96"/>
      <c r="HC45" s="96"/>
      <c r="HD45" s="96"/>
      <c r="HE45" s="96"/>
      <c r="HF45" s="96"/>
      <c r="HG45" s="96"/>
      <c r="HH45" s="96"/>
      <c r="HI45" s="96"/>
      <c r="HJ45" s="96"/>
      <c r="HK45" s="96"/>
      <c r="HL45" s="96"/>
      <c r="HM45" s="96"/>
      <c r="HN45" s="96"/>
      <c r="HO45" s="96"/>
      <c r="HP45" s="96"/>
      <c r="HQ45" s="96"/>
      <c r="HR45" s="96"/>
      <c r="HS45" s="96"/>
      <c r="HT45" s="96"/>
      <c r="HU45" s="96"/>
      <c r="HV45" s="96"/>
      <c r="HW45" s="96"/>
      <c r="HX45" s="96"/>
      <c r="HY45" s="96"/>
      <c r="HZ45" s="96"/>
      <c r="IA45" s="96"/>
      <c r="IB45" s="96"/>
      <c r="IC45" s="96"/>
      <c r="ID45" s="96"/>
      <c r="IE45" s="96"/>
      <c r="IF45" s="96"/>
      <c r="IG45" s="96"/>
      <c r="IH45" s="96"/>
      <c r="II45" s="96"/>
      <c r="IJ45" s="96"/>
      <c r="IK45" s="96"/>
      <c r="IL45" s="96"/>
      <c r="IM45" s="96"/>
      <c r="IN45" s="96"/>
      <c r="IO45" s="96"/>
      <c r="IP45" s="96"/>
      <c r="IQ45" s="96"/>
      <c r="IR45" s="96"/>
      <c r="IS45" s="96"/>
      <c r="IT45" s="96"/>
      <c r="IU45" s="96"/>
      <c r="IV45" s="96"/>
    </row>
    <row r="46" spans="1:256" s="224" customFormat="1" ht="16.5" customHeight="1" x14ac:dyDescent="0.2">
      <c r="A46" s="32" t="str">
        <f>'Common-size FS'!A47</f>
        <v>Bonds, net discount [or, plus premium]</v>
      </c>
      <c r="B46" s="32">
        <f>'Common-size FS'!B47</f>
        <v>0</v>
      </c>
      <c r="C46" s="32">
        <f>'Common-size FS'!C47</f>
        <v>0</v>
      </c>
      <c r="D46" s="32">
        <f>'Common-size FS'!D47</f>
        <v>0</v>
      </c>
      <c r="E46" s="32">
        <f>'Common-size FS'!E47</f>
        <v>0</v>
      </c>
      <c r="F46" s="32">
        <f>'Common-size FS'!F47</f>
        <v>0</v>
      </c>
      <c r="G46" s="32">
        <f>'Common-size FS'!G47</f>
        <v>0</v>
      </c>
      <c r="H46" s="718"/>
      <c r="I46" s="718"/>
      <c r="J46" s="718"/>
      <c r="K46" s="718"/>
      <c r="L46" s="718"/>
      <c r="M46" s="718"/>
      <c r="N46" s="718"/>
      <c r="O46" s="718"/>
      <c r="P46" s="718"/>
      <c r="Q46" s="718"/>
      <c r="R46" s="718"/>
      <c r="S46" s="718"/>
      <c r="T46" s="718"/>
      <c r="U46" s="718"/>
      <c r="V46" s="718"/>
      <c r="W46" s="718"/>
      <c r="X46" s="718"/>
      <c r="Y46" s="718"/>
      <c r="Z46" s="718"/>
      <c r="AA46" s="96"/>
      <c r="AB46" s="96"/>
      <c r="AC46" s="96"/>
      <c r="AD46" s="96"/>
      <c r="AE46" s="96"/>
      <c r="AF46" s="96"/>
      <c r="AG46" s="96"/>
      <c r="AH46" s="96"/>
      <c r="AI46" s="96"/>
      <c r="AJ46" s="96"/>
      <c r="AK46" s="96"/>
      <c r="AL46" s="96"/>
      <c r="AM46" s="96"/>
      <c r="AN46" s="96"/>
      <c r="AO46" s="96"/>
      <c r="AP46" s="96"/>
      <c r="AQ46" s="96"/>
      <c r="AR46" s="96"/>
      <c r="AS46" s="96"/>
      <c r="AT46" s="96"/>
      <c r="AU46" s="96"/>
      <c r="AV46" s="96"/>
      <c r="AW46" s="96"/>
      <c r="AX46" s="96"/>
      <c r="AY46" s="96"/>
      <c r="AZ46" s="96"/>
      <c r="BA46" s="96"/>
      <c r="BB46" s="96"/>
      <c r="BC46" s="96"/>
      <c r="BD46" s="96"/>
      <c r="BE46" s="96"/>
      <c r="BF46" s="96"/>
      <c r="BG46" s="96"/>
      <c r="BH46" s="96"/>
      <c r="BI46" s="96"/>
      <c r="BJ46" s="96"/>
      <c r="BK46" s="96"/>
      <c r="BL46" s="96"/>
      <c r="BM46" s="96"/>
      <c r="BN46" s="96"/>
      <c r="BO46" s="96"/>
      <c r="BP46" s="96"/>
      <c r="BQ46" s="96"/>
      <c r="BR46" s="96"/>
      <c r="BS46" s="96"/>
      <c r="BT46" s="96"/>
      <c r="BU46" s="96"/>
      <c r="BV46" s="96"/>
      <c r="BW46" s="96"/>
      <c r="BX46" s="96"/>
      <c r="BY46" s="96"/>
      <c r="BZ46" s="96"/>
      <c r="CA46" s="96"/>
      <c r="CB46" s="96"/>
      <c r="CC46" s="96"/>
      <c r="CD46" s="96"/>
      <c r="CE46" s="96"/>
      <c r="CF46" s="96"/>
      <c r="CG46" s="96"/>
      <c r="CH46" s="96"/>
      <c r="CI46" s="96"/>
      <c r="CJ46" s="96"/>
      <c r="CK46" s="96"/>
      <c r="CL46" s="96"/>
      <c r="CM46" s="96"/>
      <c r="CN46" s="96"/>
      <c r="CO46" s="96"/>
      <c r="CP46" s="96"/>
      <c r="CQ46" s="96"/>
      <c r="CR46" s="96"/>
      <c r="CS46" s="96"/>
      <c r="CT46" s="96"/>
      <c r="CU46" s="96"/>
      <c r="CV46" s="96"/>
      <c r="CW46" s="96"/>
      <c r="CX46" s="96"/>
      <c r="CY46" s="96"/>
      <c r="CZ46" s="96"/>
      <c r="DA46" s="96"/>
      <c r="DB46" s="96"/>
      <c r="DC46" s="96"/>
      <c r="DD46" s="96"/>
      <c r="DE46" s="96"/>
      <c r="DF46" s="96"/>
      <c r="DG46" s="96"/>
      <c r="DH46" s="96"/>
      <c r="DI46" s="96"/>
      <c r="DJ46" s="96"/>
      <c r="DK46" s="96"/>
      <c r="DL46" s="96"/>
      <c r="DM46" s="96"/>
      <c r="DN46" s="96"/>
      <c r="DO46" s="96"/>
      <c r="DP46" s="96"/>
      <c r="DQ46" s="96"/>
      <c r="DR46" s="96"/>
      <c r="DS46" s="96"/>
      <c r="DT46" s="96"/>
      <c r="DU46" s="96"/>
      <c r="DV46" s="96"/>
      <c r="DW46" s="96"/>
      <c r="DX46" s="96"/>
      <c r="DY46" s="96"/>
      <c r="DZ46" s="96"/>
      <c r="EA46" s="96"/>
      <c r="EB46" s="96"/>
      <c r="EC46" s="96"/>
      <c r="ED46" s="96"/>
      <c r="EE46" s="96"/>
      <c r="EF46" s="96"/>
      <c r="EG46" s="96"/>
      <c r="EH46" s="96"/>
      <c r="EI46" s="96"/>
      <c r="EJ46" s="96"/>
      <c r="EK46" s="96"/>
      <c r="EL46" s="96"/>
      <c r="EM46" s="96"/>
      <c r="EN46" s="96"/>
      <c r="EO46" s="96"/>
      <c r="EP46" s="96"/>
      <c r="EQ46" s="96"/>
      <c r="ER46" s="96"/>
      <c r="ES46" s="96"/>
      <c r="ET46" s="96"/>
      <c r="EU46" s="96"/>
      <c r="EV46" s="96"/>
      <c r="EW46" s="96"/>
      <c r="EX46" s="96"/>
      <c r="EY46" s="96"/>
      <c r="EZ46" s="96"/>
      <c r="FA46" s="96"/>
      <c r="FB46" s="96"/>
      <c r="FC46" s="96"/>
      <c r="FD46" s="96"/>
      <c r="FE46" s="96"/>
      <c r="FF46" s="96"/>
      <c r="FG46" s="96"/>
      <c r="FH46" s="96"/>
      <c r="FI46" s="96"/>
      <c r="FJ46" s="96"/>
      <c r="FK46" s="96"/>
      <c r="FL46" s="96"/>
      <c r="FM46" s="96"/>
      <c r="FN46" s="96"/>
      <c r="FO46" s="96"/>
      <c r="FP46" s="96"/>
      <c r="FQ46" s="96"/>
      <c r="FR46" s="96"/>
      <c r="FS46" s="96"/>
      <c r="FT46" s="96"/>
      <c r="FU46" s="96"/>
      <c r="FV46" s="96"/>
      <c r="FW46" s="96"/>
      <c r="FX46" s="96"/>
      <c r="FY46" s="96"/>
      <c r="FZ46" s="96"/>
      <c r="GA46" s="96"/>
      <c r="GB46" s="96"/>
      <c r="GC46" s="96"/>
      <c r="GD46" s="96"/>
      <c r="GE46" s="96"/>
      <c r="GF46" s="96"/>
      <c r="GG46" s="96"/>
      <c r="GH46" s="96"/>
      <c r="GI46" s="96"/>
      <c r="GJ46" s="96"/>
      <c r="GK46" s="96"/>
      <c r="GL46" s="96"/>
      <c r="GM46" s="96"/>
      <c r="GN46" s="96"/>
      <c r="GO46" s="96"/>
      <c r="GP46" s="96"/>
      <c r="GQ46" s="96"/>
      <c r="GR46" s="96"/>
      <c r="GS46" s="96"/>
      <c r="GT46" s="96"/>
      <c r="GU46" s="96"/>
      <c r="GV46" s="96"/>
      <c r="GW46" s="96"/>
      <c r="GX46" s="96"/>
      <c r="GY46" s="96"/>
      <c r="GZ46" s="96"/>
      <c r="HA46" s="96"/>
      <c r="HB46" s="96"/>
      <c r="HC46" s="96"/>
      <c r="HD46" s="96"/>
      <c r="HE46" s="96"/>
      <c r="HF46" s="96"/>
      <c r="HG46" s="96"/>
      <c r="HH46" s="96"/>
      <c r="HI46" s="96"/>
      <c r="HJ46" s="96"/>
      <c r="HK46" s="96"/>
      <c r="HL46" s="96"/>
      <c r="HM46" s="96"/>
      <c r="HN46" s="96"/>
      <c r="HO46" s="96"/>
      <c r="HP46" s="96"/>
      <c r="HQ46" s="96"/>
      <c r="HR46" s="96"/>
      <c r="HS46" s="96"/>
      <c r="HT46" s="96"/>
      <c r="HU46" s="96"/>
      <c r="HV46" s="96"/>
      <c r="HW46" s="96"/>
      <c r="HX46" s="96"/>
      <c r="HY46" s="96"/>
      <c r="HZ46" s="96"/>
      <c r="IA46" s="96"/>
      <c r="IB46" s="96"/>
      <c r="IC46" s="96"/>
      <c r="ID46" s="96"/>
      <c r="IE46" s="96"/>
      <c r="IF46" s="96"/>
      <c r="IG46" s="96"/>
      <c r="IH46" s="96"/>
      <c r="II46" s="96"/>
      <c r="IJ46" s="96"/>
      <c r="IK46" s="96"/>
      <c r="IL46" s="96"/>
      <c r="IM46" s="96"/>
      <c r="IN46" s="96"/>
      <c r="IO46" s="96"/>
      <c r="IP46" s="96"/>
      <c r="IQ46" s="96"/>
      <c r="IR46" s="96"/>
      <c r="IS46" s="96"/>
      <c r="IT46" s="96"/>
      <c r="IU46" s="96"/>
      <c r="IV46" s="96"/>
    </row>
    <row r="47" spans="1:256" s="224" customFormat="1" ht="16.5" customHeight="1" x14ac:dyDescent="0.2">
      <c r="A47" s="32" t="str">
        <f>'Common-size FS'!A54</f>
        <v>Preferred (or preference) stock</v>
      </c>
      <c r="B47" s="32">
        <f>'Common-size FS'!B54</f>
        <v>0</v>
      </c>
      <c r="C47" s="32">
        <f>'Common-size FS'!C54</f>
        <v>0</v>
      </c>
      <c r="D47" s="32">
        <f>'Common-size FS'!D54</f>
        <v>0</v>
      </c>
      <c r="E47" s="32">
        <f>'Common-size FS'!E54</f>
        <v>0</v>
      </c>
      <c r="F47" s="32">
        <f>'Common-size FS'!F54</f>
        <v>0</v>
      </c>
      <c r="G47" s="32">
        <f>'Common-size FS'!G54</f>
        <v>0</v>
      </c>
      <c r="H47" s="718"/>
      <c r="I47" s="718"/>
      <c r="J47" s="718"/>
      <c r="K47" s="718"/>
      <c r="L47" s="718"/>
      <c r="M47" s="718"/>
      <c r="N47" s="718"/>
      <c r="O47" s="718"/>
      <c r="P47" s="718"/>
      <c r="Q47" s="718"/>
      <c r="R47" s="718"/>
      <c r="S47" s="718"/>
      <c r="T47" s="718"/>
      <c r="U47" s="718"/>
      <c r="V47" s="718"/>
      <c r="W47" s="718"/>
      <c r="X47" s="718"/>
      <c r="Y47" s="718"/>
      <c r="Z47" s="718"/>
      <c r="AA47" s="96"/>
      <c r="AB47" s="96"/>
      <c r="AC47" s="96"/>
      <c r="AD47" s="96"/>
      <c r="AE47" s="96"/>
      <c r="AF47" s="96"/>
      <c r="AG47" s="96"/>
      <c r="AH47" s="96"/>
      <c r="AI47" s="96"/>
      <c r="AJ47" s="96"/>
      <c r="AK47" s="96"/>
      <c r="AL47" s="96"/>
      <c r="AM47" s="96"/>
      <c r="AN47" s="96"/>
      <c r="AO47" s="96"/>
      <c r="AP47" s="96"/>
      <c r="AQ47" s="96"/>
      <c r="AR47" s="96"/>
      <c r="AS47" s="96"/>
      <c r="AT47" s="96"/>
      <c r="AU47" s="96"/>
      <c r="AV47" s="96"/>
      <c r="AW47" s="96"/>
      <c r="AX47" s="96"/>
      <c r="AY47" s="96"/>
      <c r="AZ47" s="96"/>
      <c r="BA47" s="96"/>
      <c r="BB47" s="96"/>
      <c r="BC47" s="96"/>
      <c r="BD47" s="96"/>
      <c r="BE47" s="96"/>
      <c r="BF47" s="96"/>
      <c r="BG47" s="96"/>
      <c r="BH47" s="96"/>
      <c r="BI47" s="96"/>
      <c r="BJ47" s="96"/>
      <c r="BK47" s="96"/>
      <c r="BL47" s="96"/>
      <c r="BM47" s="96"/>
      <c r="BN47" s="96"/>
      <c r="BO47" s="96"/>
      <c r="BP47" s="96"/>
      <c r="BQ47" s="96"/>
      <c r="BR47" s="96"/>
      <c r="BS47" s="96"/>
      <c r="BT47" s="96"/>
      <c r="BU47" s="96"/>
      <c r="BV47" s="96"/>
      <c r="BW47" s="96"/>
      <c r="BX47" s="96"/>
      <c r="BY47" s="96"/>
      <c r="BZ47" s="96"/>
      <c r="CA47" s="96"/>
      <c r="CB47" s="96"/>
      <c r="CC47" s="96"/>
      <c r="CD47" s="96"/>
      <c r="CE47" s="96"/>
      <c r="CF47" s="96"/>
      <c r="CG47" s="96"/>
      <c r="CH47" s="96"/>
      <c r="CI47" s="96"/>
      <c r="CJ47" s="96"/>
      <c r="CK47" s="96"/>
      <c r="CL47" s="96"/>
      <c r="CM47" s="96"/>
      <c r="CN47" s="96"/>
      <c r="CO47" s="96"/>
      <c r="CP47" s="96"/>
      <c r="CQ47" s="96"/>
      <c r="CR47" s="96"/>
      <c r="CS47" s="96"/>
      <c r="CT47" s="96"/>
      <c r="CU47" s="96"/>
      <c r="CV47" s="96"/>
      <c r="CW47" s="96"/>
      <c r="CX47" s="96"/>
      <c r="CY47" s="96"/>
      <c r="CZ47" s="96"/>
      <c r="DA47" s="96"/>
      <c r="DB47" s="96"/>
      <c r="DC47" s="96"/>
      <c r="DD47" s="96"/>
      <c r="DE47" s="96"/>
      <c r="DF47" s="96"/>
      <c r="DG47" s="96"/>
      <c r="DH47" s="96"/>
      <c r="DI47" s="96"/>
      <c r="DJ47" s="96"/>
      <c r="DK47" s="96"/>
      <c r="DL47" s="96"/>
      <c r="DM47" s="96"/>
      <c r="DN47" s="96"/>
      <c r="DO47" s="96"/>
      <c r="DP47" s="96"/>
      <c r="DQ47" s="96"/>
      <c r="DR47" s="96"/>
      <c r="DS47" s="96"/>
      <c r="DT47" s="96"/>
      <c r="DU47" s="96"/>
      <c r="DV47" s="96"/>
      <c r="DW47" s="96"/>
      <c r="DX47" s="96"/>
      <c r="DY47" s="96"/>
      <c r="DZ47" s="96"/>
      <c r="EA47" s="96"/>
      <c r="EB47" s="96"/>
      <c r="EC47" s="96"/>
      <c r="ED47" s="96"/>
      <c r="EE47" s="96"/>
      <c r="EF47" s="96"/>
      <c r="EG47" s="96"/>
      <c r="EH47" s="96"/>
      <c r="EI47" s="96"/>
      <c r="EJ47" s="96"/>
      <c r="EK47" s="96"/>
      <c r="EL47" s="96"/>
      <c r="EM47" s="96"/>
      <c r="EN47" s="96"/>
      <c r="EO47" s="96"/>
      <c r="EP47" s="96"/>
      <c r="EQ47" s="96"/>
      <c r="ER47" s="96"/>
      <c r="ES47" s="96"/>
      <c r="ET47" s="96"/>
      <c r="EU47" s="96"/>
      <c r="EV47" s="96"/>
      <c r="EW47" s="96"/>
      <c r="EX47" s="96"/>
      <c r="EY47" s="96"/>
      <c r="EZ47" s="96"/>
      <c r="FA47" s="96"/>
      <c r="FB47" s="96"/>
      <c r="FC47" s="96"/>
      <c r="FD47" s="96"/>
      <c r="FE47" s="96"/>
      <c r="FF47" s="96"/>
      <c r="FG47" s="96"/>
      <c r="FH47" s="96"/>
      <c r="FI47" s="96"/>
      <c r="FJ47" s="96"/>
      <c r="FK47" s="96"/>
      <c r="FL47" s="96"/>
      <c r="FM47" s="96"/>
      <c r="FN47" s="96"/>
      <c r="FO47" s="96"/>
      <c r="FP47" s="96"/>
      <c r="FQ47" s="96"/>
      <c r="FR47" s="96"/>
      <c r="FS47" s="96"/>
      <c r="FT47" s="96"/>
      <c r="FU47" s="96"/>
      <c r="FV47" s="96"/>
      <c r="FW47" s="96"/>
      <c r="FX47" s="96"/>
      <c r="FY47" s="96"/>
      <c r="FZ47" s="96"/>
      <c r="GA47" s="96"/>
      <c r="GB47" s="96"/>
      <c r="GC47" s="96"/>
      <c r="GD47" s="96"/>
      <c r="GE47" s="96"/>
      <c r="GF47" s="96"/>
      <c r="GG47" s="96"/>
      <c r="GH47" s="96"/>
      <c r="GI47" s="96"/>
      <c r="GJ47" s="96"/>
      <c r="GK47" s="96"/>
      <c r="GL47" s="96"/>
      <c r="GM47" s="96"/>
      <c r="GN47" s="96"/>
      <c r="GO47" s="96"/>
      <c r="GP47" s="96"/>
      <c r="GQ47" s="96"/>
      <c r="GR47" s="96"/>
      <c r="GS47" s="96"/>
      <c r="GT47" s="96"/>
      <c r="GU47" s="96"/>
      <c r="GV47" s="96"/>
      <c r="GW47" s="96"/>
      <c r="GX47" s="96"/>
      <c r="GY47" s="96"/>
      <c r="GZ47" s="96"/>
      <c r="HA47" s="96"/>
      <c r="HB47" s="96"/>
      <c r="HC47" s="96"/>
      <c r="HD47" s="96"/>
      <c r="HE47" s="96"/>
      <c r="HF47" s="96"/>
      <c r="HG47" s="96"/>
      <c r="HH47" s="96"/>
      <c r="HI47" s="96"/>
      <c r="HJ47" s="96"/>
      <c r="HK47" s="96"/>
      <c r="HL47" s="96"/>
      <c r="HM47" s="96"/>
      <c r="HN47" s="96"/>
      <c r="HO47" s="96"/>
      <c r="HP47" s="96"/>
      <c r="HQ47" s="96"/>
      <c r="HR47" s="96"/>
      <c r="HS47" s="96"/>
      <c r="HT47" s="96"/>
      <c r="HU47" s="96"/>
      <c r="HV47" s="96"/>
      <c r="HW47" s="96"/>
      <c r="HX47" s="96"/>
      <c r="HY47" s="96"/>
      <c r="HZ47" s="96"/>
      <c r="IA47" s="96"/>
      <c r="IB47" s="96"/>
      <c r="IC47" s="96"/>
      <c r="ID47" s="96"/>
      <c r="IE47" s="96"/>
      <c r="IF47" s="96"/>
      <c r="IG47" s="96"/>
      <c r="IH47" s="96"/>
      <c r="II47" s="96"/>
      <c r="IJ47" s="96"/>
      <c r="IK47" s="96"/>
      <c r="IL47" s="96"/>
      <c r="IM47" s="96"/>
      <c r="IN47" s="96"/>
      <c r="IO47" s="96"/>
      <c r="IP47" s="96"/>
      <c r="IQ47" s="96"/>
      <c r="IR47" s="96"/>
      <c r="IS47" s="96"/>
      <c r="IT47" s="96"/>
      <c r="IU47" s="96"/>
      <c r="IV47" s="96"/>
    </row>
    <row r="48" spans="1:256" s="533" customFormat="1" ht="16.5" customHeight="1" x14ac:dyDescent="0.2">
      <c r="A48" s="71" t="str">
        <f>'Common-size FS'!A55</f>
        <v>Premium on preferred stock</v>
      </c>
      <c r="B48" s="71">
        <f>'Common-size FS'!B55</f>
        <v>0</v>
      </c>
      <c r="C48" s="71">
        <f>'Common-size FS'!C55</f>
        <v>0</v>
      </c>
      <c r="D48" s="71">
        <f>'Common-size FS'!D55</f>
        <v>0</v>
      </c>
      <c r="E48" s="71">
        <f>'Common-size FS'!E55</f>
        <v>0</v>
      </c>
      <c r="F48" s="71">
        <f>'Common-size FS'!F55</f>
        <v>0</v>
      </c>
      <c r="G48" s="71">
        <f>'Common-size FS'!G55</f>
        <v>0</v>
      </c>
      <c r="H48" s="724"/>
      <c r="I48" s="724"/>
      <c r="J48" s="724"/>
      <c r="K48" s="724"/>
      <c r="L48" s="724"/>
      <c r="M48" s="724"/>
      <c r="N48" s="724"/>
      <c r="O48" s="724"/>
      <c r="P48" s="724"/>
      <c r="Q48" s="724"/>
      <c r="R48" s="724"/>
      <c r="S48" s="724"/>
      <c r="T48" s="724"/>
      <c r="U48" s="724"/>
      <c r="V48" s="724"/>
      <c r="W48" s="724"/>
      <c r="X48" s="724"/>
      <c r="Y48" s="724"/>
      <c r="Z48" s="724"/>
      <c r="AA48" s="227"/>
      <c r="AB48" s="227"/>
      <c r="AC48" s="227"/>
      <c r="AD48" s="227"/>
      <c r="AE48" s="227"/>
      <c r="AF48" s="227"/>
      <c r="AG48" s="227"/>
      <c r="AH48" s="227"/>
      <c r="AI48" s="227"/>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c r="BS48" s="227"/>
      <c r="BT48" s="227"/>
      <c r="BU48" s="227"/>
      <c r="BV48" s="227"/>
      <c r="BW48" s="227"/>
      <c r="BX48" s="227"/>
      <c r="BY48" s="227"/>
      <c r="BZ48" s="227"/>
      <c r="CA48" s="227"/>
      <c r="CB48" s="227"/>
      <c r="CC48" s="227"/>
      <c r="CD48" s="227"/>
      <c r="CE48" s="227"/>
      <c r="CF48" s="227"/>
      <c r="CG48" s="227"/>
      <c r="CH48" s="227"/>
      <c r="CI48" s="227"/>
      <c r="CJ48" s="227"/>
      <c r="CK48" s="227"/>
      <c r="CL48" s="227"/>
      <c r="CM48" s="227"/>
      <c r="CN48" s="227"/>
      <c r="CO48" s="227"/>
      <c r="CP48" s="227"/>
      <c r="CQ48" s="227"/>
      <c r="CR48" s="227"/>
      <c r="CS48" s="227"/>
      <c r="CT48" s="227"/>
      <c r="CU48" s="227"/>
      <c r="CV48" s="227"/>
      <c r="CW48" s="227"/>
      <c r="CX48" s="227"/>
      <c r="CY48" s="227"/>
      <c r="CZ48" s="227"/>
      <c r="DA48" s="227"/>
      <c r="DB48" s="227"/>
      <c r="DC48" s="227"/>
      <c r="DD48" s="227"/>
      <c r="DE48" s="227"/>
      <c r="DF48" s="227"/>
      <c r="DG48" s="227"/>
      <c r="DH48" s="227"/>
      <c r="DI48" s="227"/>
      <c r="DJ48" s="227"/>
      <c r="DK48" s="227"/>
      <c r="DL48" s="227"/>
      <c r="DM48" s="227"/>
      <c r="DN48" s="227"/>
      <c r="DO48" s="227"/>
      <c r="DP48" s="227"/>
      <c r="DQ48" s="227"/>
      <c r="DR48" s="227"/>
      <c r="DS48" s="227"/>
      <c r="DT48" s="227"/>
      <c r="DU48" s="227"/>
      <c r="DV48" s="227"/>
      <c r="DW48" s="227"/>
      <c r="DX48" s="227"/>
      <c r="DY48" s="227"/>
      <c r="DZ48" s="227"/>
      <c r="EA48" s="227"/>
      <c r="EB48" s="227"/>
      <c r="EC48" s="227"/>
      <c r="ED48" s="227"/>
      <c r="EE48" s="227"/>
      <c r="EF48" s="227"/>
      <c r="EG48" s="227"/>
      <c r="EH48" s="227"/>
      <c r="EI48" s="227"/>
      <c r="EJ48" s="227"/>
      <c r="EK48" s="227"/>
      <c r="EL48" s="227"/>
      <c r="EM48" s="227"/>
      <c r="EN48" s="227"/>
      <c r="EO48" s="227"/>
      <c r="EP48" s="227"/>
      <c r="EQ48" s="227"/>
      <c r="ER48" s="227"/>
      <c r="ES48" s="227"/>
      <c r="ET48" s="227"/>
      <c r="EU48" s="227"/>
      <c r="EV48" s="227"/>
      <c r="EW48" s="227"/>
      <c r="EX48" s="227"/>
      <c r="EY48" s="227"/>
      <c r="EZ48" s="227"/>
      <c r="FA48" s="227"/>
      <c r="FB48" s="227"/>
      <c r="FC48" s="227"/>
      <c r="FD48" s="227"/>
      <c r="FE48" s="227"/>
      <c r="FF48" s="227"/>
      <c r="FG48" s="227"/>
      <c r="FH48" s="227"/>
      <c r="FI48" s="227"/>
      <c r="FJ48" s="227"/>
      <c r="FK48" s="227"/>
      <c r="FL48" s="227"/>
      <c r="FM48" s="227"/>
      <c r="FN48" s="227"/>
      <c r="FO48" s="227"/>
      <c r="FP48" s="227"/>
      <c r="FQ48" s="227"/>
      <c r="FR48" s="227"/>
      <c r="FS48" s="227"/>
      <c r="FT48" s="227"/>
      <c r="FU48" s="227"/>
      <c r="FV48" s="227"/>
      <c r="FW48" s="227"/>
      <c r="FX48" s="227"/>
      <c r="FY48" s="227"/>
      <c r="FZ48" s="227"/>
      <c r="GA48" s="227"/>
      <c r="GB48" s="227"/>
      <c r="GC48" s="227"/>
      <c r="GD48" s="227"/>
      <c r="GE48" s="227"/>
      <c r="GF48" s="227"/>
      <c r="GG48" s="227"/>
      <c r="GH48" s="227"/>
      <c r="GI48" s="227"/>
      <c r="GJ48" s="227"/>
      <c r="GK48" s="227"/>
      <c r="GL48" s="227"/>
      <c r="GM48" s="227"/>
      <c r="GN48" s="227"/>
      <c r="GO48" s="227"/>
      <c r="GP48" s="227"/>
      <c r="GQ48" s="227"/>
      <c r="GR48" s="227"/>
      <c r="GS48" s="227"/>
      <c r="GT48" s="227"/>
      <c r="GU48" s="227"/>
      <c r="GV48" s="227"/>
      <c r="GW48" s="227"/>
      <c r="GX48" s="227"/>
      <c r="GY48" s="227"/>
      <c r="GZ48" s="227"/>
      <c r="HA48" s="227"/>
      <c r="HB48" s="227"/>
      <c r="HC48" s="227"/>
      <c r="HD48" s="227"/>
      <c r="HE48" s="227"/>
      <c r="HF48" s="227"/>
      <c r="HG48" s="227"/>
      <c r="HH48" s="227"/>
      <c r="HI48" s="227"/>
      <c r="HJ48" s="227"/>
      <c r="HK48" s="227"/>
      <c r="HL48" s="227"/>
      <c r="HM48" s="227"/>
      <c r="HN48" s="227"/>
      <c r="HO48" s="227"/>
      <c r="HP48" s="227"/>
      <c r="HQ48" s="227"/>
      <c r="HR48" s="227"/>
      <c r="HS48" s="227"/>
      <c r="HT48" s="227"/>
      <c r="HU48" s="227"/>
      <c r="HV48" s="227"/>
      <c r="HW48" s="227"/>
      <c r="HX48" s="227"/>
      <c r="HY48" s="227"/>
      <c r="HZ48" s="227"/>
      <c r="IA48" s="227"/>
      <c r="IB48" s="227"/>
      <c r="IC48" s="227"/>
      <c r="ID48" s="227"/>
      <c r="IE48" s="227"/>
      <c r="IF48" s="227"/>
      <c r="IG48" s="227"/>
      <c r="IH48" s="227"/>
      <c r="II48" s="227"/>
      <c r="IJ48" s="227"/>
      <c r="IK48" s="227"/>
      <c r="IL48" s="227"/>
      <c r="IM48" s="227"/>
      <c r="IN48" s="227"/>
      <c r="IO48" s="227"/>
      <c r="IP48" s="227"/>
      <c r="IQ48" s="227"/>
      <c r="IR48" s="227"/>
      <c r="IS48" s="227"/>
      <c r="IT48" s="227"/>
      <c r="IU48" s="227"/>
      <c r="IV48" s="227"/>
    </row>
    <row r="49" spans="1:256" s="492" customFormat="1" ht="16.5" customHeight="1" x14ac:dyDescent="0.2">
      <c r="A49" s="41" t="s">
        <v>239</v>
      </c>
      <c r="B49" s="22">
        <f t="shared" ref="B49:G49" si="3">SUM(B41:B48)</f>
        <v>2781</v>
      </c>
      <c r="C49" s="22">
        <f t="shared" si="3"/>
        <v>4498</v>
      </c>
      <c r="D49" s="22">
        <f t="shared" si="3"/>
        <v>4401</v>
      </c>
      <c r="E49" s="22">
        <f t="shared" si="3"/>
        <v>4678</v>
      </c>
      <c r="F49" s="22">
        <f t="shared" si="3"/>
        <v>4957</v>
      </c>
      <c r="G49" s="22">
        <f t="shared" si="3"/>
        <v>5015</v>
      </c>
      <c r="H49" s="677"/>
      <c r="I49" s="677"/>
      <c r="J49" s="677"/>
      <c r="K49" s="677"/>
      <c r="L49" s="677"/>
      <c r="M49" s="677"/>
      <c r="N49" s="677"/>
      <c r="O49" s="677"/>
      <c r="P49" s="677"/>
      <c r="Q49" s="677"/>
      <c r="R49" s="677"/>
      <c r="S49" s="677"/>
      <c r="T49" s="677"/>
      <c r="U49" s="677"/>
      <c r="V49" s="677"/>
      <c r="W49" s="677"/>
      <c r="X49" s="677"/>
      <c r="Y49" s="677"/>
      <c r="Z49" s="677"/>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3"/>
      <c r="BR49" s="193"/>
      <c r="BS49" s="193"/>
      <c r="BT49" s="193"/>
      <c r="BU49" s="193"/>
      <c r="BV49" s="193"/>
      <c r="BW49" s="193"/>
      <c r="BX49" s="193"/>
      <c r="BY49" s="193"/>
      <c r="BZ49" s="193"/>
      <c r="CA49" s="193"/>
      <c r="CB49" s="193"/>
      <c r="CC49" s="193"/>
      <c r="CD49" s="193"/>
      <c r="CE49" s="193"/>
      <c r="CF49" s="193"/>
      <c r="CG49" s="193"/>
      <c r="CH49" s="193"/>
      <c r="CI49" s="193"/>
      <c r="CJ49" s="193"/>
      <c r="CK49" s="193"/>
      <c r="CL49" s="193"/>
      <c r="CM49" s="193"/>
      <c r="CN49" s="193"/>
      <c r="CO49" s="193"/>
      <c r="CP49" s="193"/>
      <c r="CQ49" s="193"/>
      <c r="CR49" s="193"/>
      <c r="CS49" s="193"/>
      <c r="CT49" s="193"/>
      <c r="CU49" s="193"/>
      <c r="CV49" s="193"/>
      <c r="CW49" s="193"/>
      <c r="CX49" s="193"/>
      <c r="CY49" s="193"/>
      <c r="CZ49" s="193"/>
      <c r="DA49" s="193"/>
      <c r="DB49" s="193"/>
      <c r="DC49" s="193"/>
      <c r="DD49" s="193"/>
      <c r="DE49" s="193"/>
      <c r="DF49" s="193"/>
      <c r="DG49" s="193"/>
      <c r="DH49" s="193"/>
      <c r="DI49" s="193"/>
      <c r="DJ49" s="193"/>
      <c r="DK49" s="193"/>
      <c r="DL49" s="193"/>
      <c r="DM49" s="193"/>
      <c r="DN49" s="193"/>
      <c r="DO49" s="193"/>
      <c r="DP49" s="193"/>
      <c r="DQ49" s="193"/>
      <c r="DR49" s="193"/>
      <c r="DS49" s="193"/>
      <c r="DT49" s="193"/>
      <c r="DU49" s="193"/>
      <c r="DV49" s="193"/>
      <c r="DW49" s="193"/>
      <c r="DX49" s="193"/>
      <c r="DY49" s="193"/>
      <c r="DZ49" s="193"/>
      <c r="EA49" s="193"/>
      <c r="EB49" s="193"/>
      <c r="EC49" s="193"/>
      <c r="ED49" s="193"/>
      <c r="EE49" s="193"/>
      <c r="EF49" s="193"/>
      <c r="EG49" s="193"/>
      <c r="EH49" s="193"/>
      <c r="EI49" s="193"/>
      <c r="EJ49" s="193"/>
      <c r="EK49" s="193"/>
      <c r="EL49" s="193"/>
      <c r="EM49" s="193"/>
      <c r="EN49" s="193"/>
      <c r="EO49" s="193"/>
      <c r="EP49" s="193"/>
      <c r="EQ49" s="193"/>
      <c r="ER49" s="193"/>
      <c r="ES49" s="193"/>
      <c r="ET49" s="193"/>
      <c r="EU49" s="193"/>
      <c r="EV49" s="193"/>
      <c r="EW49" s="193"/>
      <c r="EX49" s="193"/>
      <c r="EY49" s="193"/>
      <c r="EZ49" s="193"/>
      <c r="FA49" s="193"/>
      <c r="FB49" s="193"/>
      <c r="FC49" s="193"/>
      <c r="FD49" s="193"/>
      <c r="FE49" s="193"/>
      <c r="FF49" s="193"/>
      <c r="FG49" s="193"/>
      <c r="FH49" s="193"/>
      <c r="FI49" s="193"/>
      <c r="FJ49" s="193"/>
      <c r="FK49" s="193"/>
      <c r="FL49" s="193"/>
      <c r="FM49" s="193"/>
      <c r="FN49" s="193"/>
      <c r="FO49" s="193"/>
      <c r="FP49" s="193"/>
      <c r="FQ49" s="193"/>
      <c r="FR49" s="193"/>
      <c r="FS49" s="193"/>
      <c r="FT49" s="193"/>
      <c r="FU49" s="193"/>
      <c r="FV49" s="193"/>
      <c r="FW49" s="193"/>
      <c r="FX49" s="193"/>
      <c r="FY49" s="193"/>
      <c r="FZ49" s="193"/>
      <c r="GA49" s="193"/>
      <c r="GB49" s="193"/>
      <c r="GC49" s="193"/>
      <c r="GD49" s="193"/>
      <c r="GE49" s="193"/>
      <c r="GF49" s="193"/>
      <c r="GG49" s="193"/>
      <c r="GH49" s="193"/>
      <c r="GI49" s="193"/>
      <c r="GJ49" s="193"/>
      <c r="GK49" s="193"/>
      <c r="GL49" s="193"/>
      <c r="GM49" s="193"/>
      <c r="GN49" s="193"/>
      <c r="GO49" s="193"/>
      <c r="GP49" s="193"/>
      <c r="GQ49" s="193"/>
      <c r="GR49" s="193"/>
      <c r="GS49" s="193"/>
      <c r="GT49" s="193"/>
      <c r="GU49" s="193"/>
      <c r="GV49" s="193"/>
      <c r="GW49" s="193"/>
      <c r="GX49" s="193"/>
      <c r="GY49" s="193"/>
      <c r="GZ49" s="193"/>
      <c r="HA49" s="193"/>
      <c r="HB49" s="193"/>
      <c r="HC49" s="193"/>
      <c r="HD49" s="193"/>
      <c r="HE49" s="193"/>
      <c r="HF49" s="193"/>
      <c r="HG49" s="193"/>
      <c r="HH49" s="193"/>
      <c r="HI49" s="193"/>
      <c r="HJ49" s="193"/>
      <c r="HK49" s="193"/>
      <c r="HL49" s="193"/>
      <c r="HM49" s="193"/>
      <c r="HN49" s="193"/>
      <c r="HO49" s="193"/>
      <c r="HP49" s="193"/>
      <c r="HQ49" s="193"/>
      <c r="HR49" s="193"/>
      <c r="HS49" s="193"/>
      <c r="HT49" s="193"/>
      <c r="HU49" s="193"/>
      <c r="HV49" s="193"/>
      <c r="HW49" s="193"/>
      <c r="HX49" s="193"/>
      <c r="HY49" s="193"/>
      <c r="HZ49" s="193"/>
      <c r="IA49" s="193"/>
      <c r="IB49" s="193"/>
      <c r="IC49" s="193"/>
      <c r="ID49" s="193"/>
      <c r="IE49" s="193"/>
      <c r="IF49" s="193"/>
      <c r="IG49" s="193"/>
      <c r="IH49" s="193"/>
      <c r="II49" s="193"/>
      <c r="IJ49" s="193"/>
      <c r="IK49" s="193"/>
      <c r="IL49" s="193"/>
      <c r="IM49" s="193"/>
      <c r="IN49" s="193"/>
      <c r="IO49" s="193"/>
      <c r="IP49" s="193"/>
      <c r="IQ49" s="193"/>
      <c r="IR49" s="193"/>
      <c r="IS49" s="193"/>
      <c r="IT49" s="193"/>
      <c r="IU49" s="193"/>
      <c r="IV49" s="193"/>
    </row>
    <row r="50" spans="1:256" s="208" customFormat="1" ht="5.25" customHeight="1" x14ac:dyDescent="0.2">
      <c r="A50" s="193"/>
      <c r="B50" s="193"/>
      <c r="C50" s="193"/>
      <c r="D50" s="193"/>
      <c r="E50" s="193"/>
      <c r="F50" s="193"/>
      <c r="G50" s="193"/>
      <c r="H50" s="677"/>
      <c r="I50" s="677"/>
      <c r="J50" s="677"/>
      <c r="K50" s="677"/>
      <c r="L50" s="677"/>
      <c r="M50" s="677"/>
      <c r="N50" s="677"/>
      <c r="O50" s="677"/>
      <c r="P50" s="677"/>
      <c r="Q50" s="677"/>
      <c r="R50" s="677"/>
      <c r="S50" s="677"/>
      <c r="T50" s="677"/>
      <c r="U50" s="677"/>
      <c r="V50" s="677"/>
      <c r="W50" s="677"/>
      <c r="X50" s="677"/>
      <c r="Y50" s="677"/>
      <c r="Z50" s="677"/>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3"/>
      <c r="BR50" s="193"/>
      <c r="BS50" s="193"/>
      <c r="BT50" s="193"/>
      <c r="BU50" s="193"/>
      <c r="BV50" s="193"/>
      <c r="BW50" s="193"/>
      <c r="BX50" s="193"/>
      <c r="BY50" s="193"/>
      <c r="BZ50" s="193"/>
      <c r="CA50" s="193"/>
      <c r="CB50" s="193"/>
      <c r="CC50" s="193"/>
      <c r="CD50" s="193"/>
      <c r="CE50" s="193"/>
      <c r="CF50" s="193"/>
      <c r="CG50" s="193"/>
      <c r="CH50" s="193"/>
      <c r="CI50" s="193"/>
      <c r="CJ50" s="193"/>
      <c r="CK50" s="193"/>
      <c r="CL50" s="193"/>
      <c r="CM50" s="193"/>
      <c r="CN50" s="193"/>
      <c r="CO50" s="193"/>
      <c r="CP50" s="193"/>
      <c r="CQ50" s="193"/>
      <c r="CR50" s="193"/>
      <c r="CS50" s="193"/>
      <c r="CT50" s="193"/>
      <c r="CU50" s="193"/>
      <c r="CV50" s="193"/>
      <c r="CW50" s="193"/>
      <c r="CX50" s="193"/>
      <c r="CY50" s="193"/>
      <c r="CZ50" s="193"/>
      <c r="DA50" s="193"/>
      <c r="DB50" s="193"/>
      <c r="DC50" s="193"/>
      <c r="DD50" s="193"/>
      <c r="DE50" s="193"/>
      <c r="DF50" s="193"/>
      <c r="DG50" s="193"/>
      <c r="DH50" s="193"/>
      <c r="DI50" s="193"/>
      <c r="DJ50" s="193"/>
      <c r="DK50" s="193"/>
      <c r="DL50" s="193"/>
      <c r="DM50" s="193"/>
      <c r="DN50" s="193"/>
      <c r="DO50" s="193"/>
      <c r="DP50" s="193"/>
      <c r="DQ50" s="193"/>
      <c r="DR50" s="193"/>
      <c r="DS50" s="193"/>
      <c r="DT50" s="193"/>
      <c r="DU50" s="193"/>
      <c r="DV50" s="193"/>
      <c r="DW50" s="193"/>
      <c r="DX50" s="193"/>
      <c r="DY50" s="193"/>
      <c r="DZ50" s="193"/>
      <c r="EA50" s="193"/>
      <c r="EB50" s="193"/>
      <c r="EC50" s="193"/>
      <c r="ED50" s="193"/>
      <c r="EE50" s="193"/>
      <c r="EF50" s="193"/>
      <c r="EG50" s="193"/>
      <c r="EH50" s="193"/>
      <c r="EI50" s="193"/>
      <c r="EJ50" s="193"/>
      <c r="EK50" s="193"/>
      <c r="EL50" s="193"/>
      <c r="EM50" s="193"/>
      <c r="EN50" s="193"/>
      <c r="EO50" s="193"/>
      <c r="EP50" s="193"/>
      <c r="EQ50" s="193"/>
      <c r="ER50" s="193"/>
      <c r="ES50" s="193"/>
      <c r="ET50" s="193"/>
      <c r="EU50" s="193"/>
      <c r="EV50" s="193"/>
      <c r="EW50" s="193"/>
      <c r="EX50" s="193"/>
      <c r="EY50" s="193"/>
      <c r="EZ50" s="193"/>
      <c r="FA50" s="193"/>
      <c r="FB50" s="193"/>
      <c r="FC50" s="193"/>
      <c r="FD50" s="193"/>
      <c r="FE50" s="193"/>
      <c r="FF50" s="193"/>
      <c r="FG50" s="193"/>
      <c r="FH50" s="193"/>
      <c r="FI50" s="193"/>
      <c r="FJ50" s="193"/>
      <c r="FK50" s="193"/>
      <c r="FL50" s="193"/>
      <c r="FM50" s="193"/>
      <c r="FN50" s="193"/>
      <c r="FO50" s="193"/>
      <c r="FP50" s="193"/>
      <c r="FQ50" s="193"/>
      <c r="FR50" s="193"/>
      <c r="FS50" s="193"/>
      <c r="FT50" s="193"/>
      <c r="FU50" s="193"/>
      <c r="FV50" s="193"/>
      <c r="FW50" s="193"/>
      <c r="FX50" s="193"/>
      <c r="FY50" s="193"/>
      <c r="FZ50" s="193"/>
      <c r="GA50" s="193"/>
      <c r="GB50" s="193"/>
      <c r="GC50" s="193"/>
      <c r="GD50" s="193"/>
      <c r="GE50" s="193"/>
      <c r="GF50" s="193"/>
      <c r="GG50" s="193"/>
      <c r="GH50" s="193"/>
      <c r="GI50" s="193"/>
      <c r="GJ50" s="193"/>
      <c r="GK50" s="193"/>
      <c r="GL50" s="193"/>
      <c r="GM50" s="193"/>
      <c r="GN50" s="193"/>
      <c r="GO50" s="193"/>
      <c r="GP50" s="193"/>
      <c r="GQ50" s="193"/>
      <c r="GR50" s="193"/>
      <c r="GS50" s="193"/>
      <c r="GT50" s="193"/>
      <c r="GU50" s="193"/>
      <c r="GV50" s="193"/>
      <c r="GW50" s="193"/>
      <c r="GX50" s="193"/>
      <c r="GY50" s="193"/>
      <c r="GZ50" s="193"/>
      <c r="HA50" s="193"/>
      <c r="HB50" s="193"/>
      <c r="HC50" s="193"/>
      <c r="HD50" s="193"/>
      <c r="HE50" s="193"/>
      <c r="HF50" s="193"/>
      <c r="HG50" s="193"/>
      <c r="HH50" s="193"/>
      <c r="HI50" s="193"/>
      <c r="HJ50" s="193"/>
      <c r="HK50" s="193"/>
      <c r="HL50" s="193"/>
      <c r="HM50" s="193"/>
      <c r="HN50" s="193"/>
      <c r="HO50" s="193"/>
      <c r="HP50" s="193"/>
      <c r="HQ50" s="193"/>
      <c r="HR50" s="193"/>
      <c r="HS50" s="193"/>
      <c r="HT50" s="193"/>
      <c r="HU50" s="193"/>
      <c r="HV50" s="193"/>
      <c r="HW50" s="193"/>
      <c r="HX50" s="193"/>
      <c r="HY50" s="193"/>
      <c r="HZ50" s="193"/>
      <c r="IA50" s="193"/>
      <c r="IB50" s="193"/>
      <c r="IC50" s="193"/>
      <c r="ID50" s="193"/>
      <c r="IE50" s="193"/>
      <c r="IF50" s="193"/>
      <c r="IG50" s="193"/>
      <c r="IH50" s="193"/>
      <c r="II50" s="193"/>
      <c r="IJ50" s="193"/>
      <c r="IK50" s="193"/>
      <c r="IL50" s="193"/>
      <c r="IM50" s="193"/>
      <c r="IN50" s="193"/>
      <c r="IO50" s="193"/>
      <c r="IP50" s="193"/>
      <c r="IQ50" s="193"/>
      <c r="IR50" s="193"/>
      <c r="IS50" s="193"/>
      <c r="IT50" s="193"/>
      <c r="IU50" s="193"/>
      <c r="IV50" s="193"/>
    </row>
    <row r="51" spans="1:256" s="532" customFormat="1" ht="16.5" customHeight="1" x14ac:dyDescent="0.2">
      <c r="A51" s="75" t="str">
        <f>'Common-size FS'!A13</f>
        <v>Investment securities AFS</v>
      </c>
      <c r="B51" s="40">
        <f>'Common-size FS'!B13</f>
        <v>0</v>
      </c>
      <c r="C51" s="40">
        <f>'Common-size FS'!C13</f>
        <v>0</v>
      </c>
      <c r="D51" s="40">
        <f>'Common-size FS'!D13</f>
        <v>0</v>
      </c>
      <c r="E51" s="40">
        <f>'Common-size FS'!E13</f>
        <v>0</v>
      </c>
      <c r="F51" s="40">
        <f>'Common-size FS'!F13</f>
        <v>0</v>
      </c>
      <c r="G51" s="40">
        <f>'Common-size FS'!G13</f>
        <v>0</v>
      </c>
      <c r="H51" s="725"/>
      <c r="I51" s="725"/>
      <c r="J51" s="725"/>
      <c r="K51" s="725"/>
      <c r="L51" s="725"/>
      <c r="M51" s="725"/>
      <c r="N51" s="725"/>
      <c r="O51" s="725"/>
      <c r="P51" s="725"/>
      <c r="Q51" s="725"/>
      <c r="R51" s="725"/>
      <c r="S51" s="725"/>
      <c r="T51" s="725"/>
      <c r="U51" s="725"/>
      <c r="V51" s="725"/>
      <c r="W51" s="725"/>
      <c r="X51" s="725"/>
      <c r="Y51" s="725"/>
      <c r="Z51" s="725"/>
      <c r="AA51" s="149"/>
      <c r="AB51" s="149"/>
      <c r="AC51" s="149"/>
      <c r="AD51" s="149"/>
      <c r="AE51" s="149"/>
      <c r="AF51" s="149"/>
      <c r="AG51" s="149"/>
      <c r="AH51" s="149"/>
      <c r="AI51" s="149"/>
      <c r="AJ51" s="149"/>
      <c r="AK51" s="149"/>
      <c r="AL51" s="149"/>
      <c r="AM51" s="149"/>
      <c r="AN51" s="149"/>
      <c r="AO51" s="149"/>
      <c r="AP51" s="149"/>
      <c r="AQ51" s="149"/>
      <c r="AR51" s="149"/>
      <c r="AS51" s="149"/>
      <c r="AT51" s="149"/>
      <c r="AU51" s="149"/>
      <c r="AV51" s="149"/>
      <c r="AW51" s="149"/>
      <c r="AX51" s="149"/>
      <c r="AY51" s="149"/>
      <c r="AZ51" s="149"/>
      <c r="BA51" s="149"/>
      <c r="BB51" s="149"/>
      <c r="BC51" s="149"/>
      <c r="BD51" s="149"/>
      <c r="BE51" s="149"/>
      <c r="BF51" s="149"/>
      <c r="BG51" s="149"/>
      <c r="BH51" s="149"/>
      <c r="BI51" s="149"/>
      <c r="BJ51" s="149"/>
      <c r="BK51" s="149"/>
      <c r="BL51" s="149"/>
      <c r="BM51" s="149"/>
      <c r="BN51" s="149"/>
      <c r="BO51" s="149"/>
      <c r="BP51" s="149"/>
      <c r="BQ51" s="149"/>
      <c r="BR51" s="149"/>
      <c r="BS51" s="149"/>
      <c r="BT51" s="149"/>
      <c r="BU51" s="149"/>
      <c r="BV51" s="149"/>
      <c r="BW51" s="149"/>
      <c r="BX51" s="149"/>
      <c r="BY51" s="149"/>
      <c r="BZ51" s="149"/>
      <c r="CA51" s="149"/>
      <c r="CB51" s="149"/>
      <c r="CC51" s="149"/>
      <c r="CD51" s="149"/>
      <c r="CE51" s="149"/>
      <c r="CF51" s="149"/>
      <c r="CG51" s="149"/>
      <c r="CH51" s="149"/>
      <c r="CI51" s="149"/>
      <c r="CJ51" s="149"/>
      <c r="CK51" s="149"/>
      <c r="CL51" s="149"/>
      <c r="CM51" s="149"/>
      <c r="CN51" s="149"/>
      <c r="CO51" s="149"/>
      <c r="CP51" s="149"/>
      <c r="CQ51" s="149"/>
      <c r="CR51" s="149"/>
      <c r="CS51" s="149"/>
      <c r="CT51" s="149"/>
      <c r="CU51" s="149"/>
      <c r="CV51" s="149"/>
      <c r="CW51" s="149"/>
      <c r="CX51" s="149"/>
      <c r="CY51" s="149"/>
      <c r="CZ51" s="149"/>
      <c r="DA51" s="149"/>
      <c r="DB51" s="149"/>
      <c r="DC51" s="149"/>
      <c r="DD51" s="149"/>
      <c r="DE51" s="149"/>
      <c r="DF51" s="149"/>
      <c r="DG51" s="149"/>
      <c r="DH51" s="149"/>
      <c r="DI51" s="149"/>
      <c r="DJ51" s="149"/>
      <c r="DK51" s="149"/>
      <c r="DL51" s="149"/>
      <c r="DM51" s="149"/>
      <c r="DN51" s="149"/>
      <c r="DO51" s="149"/>
      <c r="DP51" s="149"/>
      <c r="DQ51" s="149"/>
      <c r="DR51" s="149"/>
      <c r="DS51" s="149"/>
      <c r="DT51" s="149"/>
      <c r="DU51" s="149"/>
      <c r="DV51" s="149"/>
      <c r="DW51" s="149"/>
      <c r="DX51" s="149"/>
      <c r="DY51" s="149"/>
      <c r="DZ51" s="149"/>
      <c r="EA51" s="149"/>
      <c r="EB51" s="149"/>
      <c r="EC51" s="149"/>
      <c r="ED51" s="149"/>
      <c r="EE51" s="149"/>
      <c r="EF51" s="149"/>
      <c r="EG51" s="149"/>
      <c r="EH51" s="149"/>
      <c r="EI51" s="149"/>
      <c r="EJ51" s="149"/>
      <c r="EK51" s="149"/>
      <c r="EL51" s="149"/>
      <c r="EM51" s="149"/>
      <c r="EN51" s="149"/>
      <c r="EO51" s="149"/>
      <c r="EP51" s="149"/>
      <c r="EQ51" s="149"/>
      <c r="ER51" s="149"/>
      <c r="ES51" s="149"/>
      <c r="ET51" s="149"/>
      <c r="EU51" s="149"/>
      <c r="EV51" s="149"/>
      <c r="EW51" s="149"/>
      <c r="EX51" s="149"/>
      <c r="EY51" s="149"/>
      <c r="EZ51" s="149"/>
      <c r="FA51" s="149"/>
      <c r="FB51" s="149"/>
      <c r="FC51" s="149"/>
      <c r="FD51" s="149"/>
      <c r="FE51" s="149"/>
      <c r="FF51" s="149"/>
      <c r="FG51" s="149"/>
      <c r="FH51" s="149"/>
      <c r="FI51" s="149"/>
      <c r="FJ51" s="149"/>
      <c r="FK51" s="149"/>
      <c r="FL51" s="149"/>
      <c r="FM51" s="149"/>
      <c r="FN51" s="149"/>
      <c r="FO51" s="149"/>
      <c r="FP51" s="149"/>
      <c r="FQ51" s="149"/>
      <c r="FR51" s="149"/>
      <c r="FS51" s="149"/>
      <c r="FT51" s="149"/>
      <c r="FU51" s="149"/>
      <c r="FV51" s="149"/>
      <c r="FW51" s="149"/>
      <c r="FX51" s="149"/>
      <c r="FY51" s="149"/>
      <c r="FZ51" s="149"/>
      <c r="GA51" s="149"/>
      <c r="GB51" s="149"/>
      <c r="GC51" s="149"/>
      <c r="GD51" s="149"/>
      <c r="GE51" s="149"/>
      <c r="GF51" s="149"/>
      <c r="GG51" s="149"/>
      <c r="GH51" s="149"/>
      <c r="GI51" s="149"/>
      <c r="GJ51" s="149"/>
      <c r="GK51" s="149"/>
      <c r="GL51" s="149"/>
      <c r="GM51" s="149"/>
      <c r="GN51" s="149"/>
      <c r="GO51" s="149"/>
      <c r="GP51" s="149"/>
      <c r="GQ51" s="149"/>
      <c r="GR51" s="149"/>
      <c r="GS51" s="149"/>
      <c r="GT51" s="149"/>
      <c r="GU51" s="149"/>
      <c r="GV51" s="149"/>
      <c r="GW51" s="149"/>
      <c r="GX51" s="149"/>
      <c r="GY51" s="149"/>
      <c r="GZ51" s="149"/>
      <c r="HA51" s="149"/>
      <c r="HB51" s="149"/>
      <c r="HC51" s="149"/>
      <c r="HD51" s="149"/>
      <c r="HE51" s="149"/>
      <c r="HF51" s="149"/>
      <c r="HG51" s="149"/>
      <c r="HH51" s="149"/>
      <c r="HI51" s="149"/>
      <c r="HJ51" s="149"/>
      <c r="HK51" s="149"/>
      <c r="HL51" s="149"/>
      <c r="HM51" s="149"/>
      <c r="HN51" s="149"/>
      <c r="HO51" s="149"/>
      <c r="HP51" s="149"/>
      <c r="HQ51" s="149"/>
      <c r="HR51" s="149"/>
      <c r="HS51" s="149"/>
      <c r="HT51" s="149"/>
      <c r="HU51" s="149"/>
      <c r="HV51" s="149"/>
      <c r="HW51" s="149"/>
      <c r="HX51" s="149"/>
      <c r="HY51" s="149"/>
      <c r="HZ51" s="149"/>
      <c r="IA51" s="149"/>
      <c r="IB51" s="149"/>
      <c r="IC51" s="149"/>
      <c r="ID51" s="149"/>
      <c r="IE51" s="149"/>
      <c r="IF51" s="149"/>
      <c r="IG51" s="149"/>
      <c r="IH51" s="149"/>
      <c r="II51" s="149"/>
      <c r="IJ51" s="149"/>
      <c r="IK51" s="149"/>
      <c r="IL51" s="149"/>
      <c r="IM51" s="149"/>
      <c r="IN51" s="149"/>
      <c r="IO51" s="149"/>
      <c r="IP51" s="149"/>
      <c r="IQ51" s="149"/>
      <c r="IR51" s="149"/>
      <c r="IS51" s="149"/>
      <c r="IT51" s="149"/>
      <c r="IU51" s="149"/>
      <c r="IV51" s="149"/>
    </row>
    <row r="52" spans="1:256" s="493" customFormat="1" ht="16.5" customHeight="1" x14ac:dyDescent="0.2">
      <c r="A52" s="104" t="s">
        <v>562</v>
      </c>
      <c r="B52" s="38">
        <f t="shared" ref="B52:G52" si="4">-B14</f>
        <v>0.1</v>
      </c>
      <c r="C52" s="38">
        <f t="shared" si="4"/>
        <v>543</v>
      </c>
      <c r="D52" s="38">
        <f t="shared" si="4"/>
        <v>510</v>
      </c>
      <c r="E52" s="38">
        <f t="shared" si="4"/>
        <v>118</v>
      </c>
      <c r="F52" s="38">
        <f t="shared" si="4"/>
        <v>0</v>
      </c>
      <c r="G52" s="38">
        <f t="shared" si="4"/>
        <v>0</v>
      </c>
      <c r="H52" s="724"/>
      <c r="I52" s="724"/>
      <c r="J52" s="724"/>
      <c r="K52" s="724"/>
      <c r="L52" s="724"/>
      <c r="M52" s="724"/>
      <c r="N52" s="724"/>
      <c r="O52" s="724"/>
      <c r="P52" s="724"/>
      <c r="Q52" s="724"/>
      <c r="R52" s="724"/>
      <c r="S52" s="724"/>
      <c r="T52" s="724"/>
      <c r="U52" s="724"/>
      <c r="V52" s="724"/>
      <c r="W52" s="724"/>
      <c r="X52" s="724"/>
      <c r="Y52" s="724"/>
      <c r="Z52" s="724"/>
      <c r="AA52" s="227"/>
      <c r="AB52" s="227"/>
      <c r="AC52" s="227"/>
      <c r="AD52" s="227"/>
      <c r="AE52" s="227"/>
      <c r="AF52" s="227"/>
      <c r="AG52" s="227"/>
      <c r="AH52" s="227"/>
      <c r="AI52" s="227"/>
      <c r="AJ52" s="227"/>
      <c r="AK52" s="227"/>
      <c r="AL52" s="227"/>
      <c r="AM52" s="227"/>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227"/>
      <c r="BR52" s="227"/>
      <c r="BS52" s="227"/>
      <c r="BT52" s="227"/>
      <c r="BU52" s="227"/>
      <c r="BV52" s="227"/>
      <c r="BW52" s="227"/>
      <c r="BX52" s="227"/>
      <c r="BY52" s="227"/>
      <c r="BZ52" s="227"/>
      <c r="CA52" s="227"/>
      <c r="CB52" s="227"/>
      <c r="CC52" s="227"/>
      <c r="CD52" s="227"/>
      <c r="CE52" s="227"/>
      <c r="CF52" s="227"/>
      <c r="CG52" s="227"/>
      <c r="CH52" s="227"/>
      <c r="CI52" s="227"/>
      <c r="CJ52" s="227"/>
      <c r="CK52" s="227"/>
      <c r="CL52" s="227"/>
      <c r="CM52" s="227"/>
      <c r="CN52" s="227"/>
      <c r="CO52" s="227"/>
      <c r="CP52" s="227"/>
      <c r="CQ52" s="227"/>
      <c r="CR52" s="227"/>
      <c r="CS52" s="227"/>
      <c r="CT52" s="227"/>
      <c r="CU52" s="227"/>
      <c r="CV52" s="227"/>
      <c r="CW52" s="227"/>
      <c r="CX52" s="227"/>
      <c r="CY52" s="227"/>
      <c r="CZ52" s="227"/>
      <c r="DA52" s="227"/>
      <c r="DB52" s="227"/>
      <c r="DC52" s="227"/>
      <c r="DD52" s="227"/>
      <c r="DE52" s="227"/>
      <c r="DF52" s="227"/>
      <c r="DG52" s="227"/>
      <c r="DH52" s="227"/>
      <c r="DI52" s="227"/>
      <c r="DJ52" s="227"/>
      <c r="DK52" s="227"/>
      <c r="DL52" s="227"/>
      <c r="DM52" s="227"/>
      <c r="DN52" s="227"/>
      <c r="DO52" s="227"/>
      <c r="DP52" s="227"/>
      <c r="DQ52" s="227"/>
      <c r="DR52" s="227"/>
      <c r="DS52" s="227"/>
      <c r="DT52" s="227"/>
      <c r="DU52" s="227"/>
      <c r="DV52" s="227"/>
      <c r="DW52" s="227"/>
      <c r="DX52" s="227"/>
      <c r="DY52" s="227"/>
      <c r="DZ52" s="227"/>
      <c r="EA52" s="227"/>
      <c r="EB52" s="227"/>
      <c r="EC52" s="227"/>
      <c r="ED52" s="227"/>
      <c r="EE52" s="227"/>
      <c r="EF52" s="227"/>
      <c r="EG52" s="227"/>
      <c r="EH52" s="227"/>
      <c r="EI52" s="227"/>
      <c r="EJ52" s="227"/>
      <c r="EK52" s="227"/>
      <c r="EL52" s="227"/>
      <c r="EM52" s="227"/>
      <c r="EN52" s="227"/>
      <c r="EO52" s="227"/>
      <c r="EP52" s="227"/>
      <c r="EQ52" s="227"/>
      <c r="ER52" s="227"/>
      <c r="ES52" s="227"/>
      <c r="ET52" s="227"/>
      <c r="EU52" s="227"/>
      <c r="EV52" s="227"/>
      <c r="EW52" s="227"/>
      <c r="EX52" s="227"/>
      <c r="EY52" s="227"/>
      <c r="EZ52" s="227"/>
      <c r="FA52" s="227"/>
      <c r="FB52" s="227"/>
      <c r="FC52" s="227"/>
      <c r="FD52" s="227"/>
      <c r="FE52" s="227"/>
      <c r="FF52" s="227"/>
      <c r="FG52" s="227"/>
      <c r="FH52" s="227"/>
      <c r="FI52" s="227"/>
      <c r="FJ52" s="227"/>
      <c r="FK52" s="227"/>
      <c r="FL52" s="227"/>
      <c r="FM52" s="227"/>
      <c r="FN52" s="227"/>
      <c r="FO52" s="227"/>
      <c r="FP52" s="227"/>
      <c r="FQ52" s="227"/>
      <c r="FR52" s="227"/>
      <c r="FS52" s="227"/>
      <c r="FT52" s="227"/>
      <c r="FU52" s="227"/>
      <c r="FV52" s="227"/>
      <c r="FW52" s="227"/>
      <c r="FX52" s="227"/>
      <c r="FY52" s="227"/>
      <c r="FZ52" s="227"/>
      <c r="GA52" s="227"/>
      <c r="GB52" s="227"/>
      <c r="GC52" s="227"/>
      <c r="GD52" s="227"/>
      <c r="GE52" s="227"/>
      <c r="GF52" s="227"/>
      <c r="GG52" s="227"/>
      <c r="GH52" s="227"/>
      <c r="GI52" s="227"/>
      <c r="GJ52" s="227"/>
      <c r="GK52" s="227"/>
      <c r="GL52" s="227"/>
      <c r="GM52" s="227"/>
      <c r="GN52" s="227"/>
      <c r="GO52" s="227"/>
      <c r="GP52" s="227"/>
      <c r="GQ52" s="227"/>
      <c r="GR52" s="227"/>
      <c r="GS52" s="227"/>
      <c r="GT52" s="227"/>
      <c r="GU52" s="227"/>
      <c r="GV52" s="227"/>
      <c r="GW52" s="227"/>
      <c r="GX52" s="227"/>
      <c r="GY52" s="227"/>
      <c r="GZ52" s="227"/>
      <c r="HA52" s="227"/>
      <c r="HB52" s="227"/>
      <c r="HC52" s="227"/>
      <c r="HD52" s="227"/>
      <c r="HE52" s="227"/>
      <c r="HF52" s="227"/>
      <c r="HG52" s="227"/>
      <c r="HH52" s="227"/>
      <c r="HI52" s="227"/>
      <c r="HJ52" s="227"/>
      <c r="HK52" s="227"/>
      <c r="HL52" s="227"/>
      <c r="HM52" s="227"/>
      <c r="HN52" s="227"/>
      <c r="HO52" s="227"/>
      <c r="HP52" s="227"/>
      <c r="HQ52" s="227"/>
      <c r="HR52" s="227"/>
      <c r="HS52" s="227"/>
      <c r="HT52" s="227"/>
      <c r="HU52" s="227"/>
      <c r="HV52" s="227"/>
      <c r="HW52" s="227"/>
      <c r="HX52" s="227"/>
      <c r="HY52" s="227"/>
      <c r="HZ52" s="227"/>
      <c r="IA52" s="227"/>
      <c r="IB52" s="227"/>
      <c r="IC52" s="227"/>
      <c r="ID52" s="227"/>
      <c r="IE52" s="227"/>
      <c r="IF52" s="227"/>
      <c r="IG52" s="227"/>
      <c r="IH52" s="227"/>
      <c r="II52" s="227"/>
      <c r="IJ52" s="227"/>
      <c r="IK52" s="227"/>
      <c r="IL52" s="227"/>
      <c r="IM52" s="227"/>
      <c r="IN52" s="227"/>
      <c r="IO52" s="227"/>
      <c r="IP52" s="227"/>
      <c r="IQ52" s="227"/>
      <c r="IR52" s="227"/>
      <c r="IS52" s="227"/>
      <c r="IT52" s="227"/>
      <c r="IU52" s="227"/>
      <c r="IV52" s="227"/>
    </row>
    <row r="53" spans="1:256" s="534" customFormat="1" ht="16.5" customHeight="1" x14ac:dyDescent="0.2">
      <c r="A53" s="73" t="s">
        <v>148</v>
      </c>
      <c r="B53" s="256">
        <f t="shared" ref="B53:G53" si="5">SUM(B51:B52)</f>
        <v>0.1</v>
      </c>
      <c r="C53" s="256">
        <f t="shared" si="5"/>
        <v>543</v>
      </c>
      <c r="D53" s="256">
        <f t="shared" si="5"/>
        <v>510</v>
      </c>
      <c r="E53" s="256">
        <f t="shared" si="5"/>
        <v>118</v>
      </c>
      <c r="F53" s="256">
        <f t="shared" si="5"/>
        <v>0</v>
      </c>
      <c r="G53" s="256">
        <f t="shared" si="5"/>
        <v>0</v>
      </c>
      <c r="H53" s="729"/>
      <c r="I53" s="729"/>
      <c r="J53" s="729"/>
      <c r="K53" s="729"/>
      <c r="L53" s="729"/>
      <c r="M53" s="729"/>
      <c r="N53" s="729"/>
      <c r="O53" s="729"/>
      <c r="P53" s="729"/>
      <c r="Q53" s="729"/>
      <c r="R53" s="729"/>
      <c r="S53" s="729"/>
      <c r="T53" s="729"/>
      <c r="U53" s="729"/>
      <c r="V53" s="729"/>
      <c r="W53" s="729"/>
      <c r="X53" s="729"/>
      <c r="Y53" s="729"/>
      <c r="Z53" s="729"/>
      <c r="AA53" s="166"/>
      <c r="AB53" s="166"/>
      <c r="AC53" s="166"/>
      <c r="AD53" s="166"/>
      <c r="AE53" s="166"/>
      <c r="AF53" s="166"/>
      <c r="AG53" s="166"/>
      <c r="AH53" s="166"/>
      <c r="AI53" s="166"/>
      <c r="AJ53" s="166"/>
      <c r="AK53" s="166"/>
      <c r="AL53" s="166"/>
      <c r="AM53" s="166"/>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6"/>
      <c r="BR53" s="166"/>
      <c r="BS53" s="166"/>
      <c r="BT53" s="166"/>
      <c r="BU53" s="166"/>
      <c r="BV53" s="166"/>
      <c r="BW53" s="166"/>
      <c r="BX53" s="166"/>
      <c r="BY53" s="166"/>
      <c r="BZ53" s="166"/>
      <c r="CA53" s="166"/>
      <c r="CB53" s="166"/>
      <c r="CC53" s="166"/>
      <c r="CD53" s="166"/>
      <c r="CE53" s="166"/>
      <c r="CF53" s="166"/>
      <c r="CG53" s="166"/>
      <c r="CH53" s="166"/>
      <c r="CI53" s="166"/>
      <c r="CJ53" s="166"/>
      <c r="CK53" s="166"/>
      <c r="CL53" s="166"/>
      <c r="CM53" s="166"/>
      <c r="CN53" s="166"/>
      <c r="CO53" s="166"/>
      <c r="CP53" s="166"/>
      <c r="CQ53" s="166"/>
      <c r="CR53" s="166"/>
      <c r="CS53" s="166"/>
      <c r="CT53" s="166"/>
      <c r="CU53" s="166"/>
      <c r="CV53" s="166"/>
      <c r="CW53" s="166"/>
      <c r="CX53" s="166"/>
      <c r="CY53" s="166"/>
      <c r="CZ53" s="166"/>
      <c r="DA53" s="166"/>
      <c r="DB53" s="166"/>
      <c r="DC53" s="166"/>
      <c r="DD53" s="166"/>
      <c r="DE53" s="166"/>
      <c r="DF53" s="166"/>
      <c r="DG53" s="166"/>
      <c r="DH53" s="166"/>
      <c r="DI53" s="166"/>
      <c r="DJ53" s="166"/>
      <c r="DK53" s="166"/>
      <c r="DL53" s="166"/>
      <c r="DM53" s="166"/>
      <c r="DN53" s="166"/>
      <c r="DO53" s="166"/>
      <c r="DP53" s="166"/>
      <c r="DQ53" s="166"/>
      <c r="DR53" s="166"/>
      <c r="DS53" s="166"/>
      <c r="DT53" s="166"/>
      <c r="DU53" s="166"/>
      <c r="DV53" s="166"/>
      <c r="DW53" s="166"/>
      <c r="DX53" s="166"/>
      <c r="DY53" s="166"/>
      <c r="DZ53" s="166"/>
      <c r="EA53" s="166"/>
      <c r="EB53" s="166"/>
      <c r="EC53" s="166"/>
      <c r="ED53" s="166"/>
      <c r="EE53" s="166"/>
      <c r="EF53" s="166"/>
      <c r="EG53" s="166"/>
      <c r="EH53" s="166"/>
      <c r="EI53" s="166"/>
      <c r="EJ53" s="166"/>
      <c r="EK53" s="166"/>
      <c r="EL53" s="166"/>
      <c r="EM53" s="166"/>
      <c r="EN53" s="166"/>
      <c r="EO53" s="166"/>
      <c r="EP53" s="166"/>
      <c r="EQ53" s="166"/>
      <c r="ER53" s="166"/>
      <c r="ES53" s="166"/>
      <c r="ET53" s="166"/>
      <c r="EU53" s="166"/>
      <c r="EV53" s="166"/>
      <c r="EW53" s="166"/>
      <c r="EX53" s="166"/>
      <c r="EY53" s="166"/>
      <c r="EZ53" s="166"/>
      <c r="FA53" s="166"/>
      <c r="FB53" s="166"/>
      <c r="FC53" s="166"/>
      <c r="FD53" s="166"/>
      <c r="FE53" s="166"/>
      <c r="FF53" s="166"/>
      <c r="FG53" s="166"/>
      <c r="FH53" s="166"/>
      <c r="FI53" s="166"/>
      <c r="FJ53" s="166"/>
      <c r="FK53" s="166"/>
      <c r="FL53" s="166"/>
      <c r="FM53" s="166"/>
      <c r="FN53" s="166"/>
      <c r="FO53" s="166"/>
      <c r="FP53" s="166"/>
      <c r="FQ53" s="166"/>
      <c r="FR53" s="166"/>
      <c r="FS53" s="166"/>
      <c r="FT53" s="166"/>
      <c r="FU53" s="166"/>
      <c r="FV53" s="166"/>
      <c r="FW53" s="166"/>
      <c r="FX53" s="166"/>
      <c r="FY53" s="166"/>
      <c r="FZ53" s="166"/>
      <c r="GA53" s="166"/>
      <c r="GB53" s="166"/>
      <c r="GC53" s="166"/>
      <c r="GD53" s="166"/>
      <c r="GE53" s="166"/>
      <c r="GF53" s="166"/>
      <c r="GG53" s="166"/>
      <c r="GH53" s="166"/>
      <c r="GI53" s="166"/>
      <c r="GJ53" s="166"/>
      <c r="GK53" s="166"/>
      <c r="GL53" s="166"/>
      <c r="GM53" s="166"/>
      <c r="GN53" s="166"/>
      <c r="GO53" s="166"/>
      <c r="GP53" s="166"/>
      <c r="GQ53" s="166"/>
      <c r="GR53" s="166"/>
      <c r="GS53" s="166"/>
      <c r="GT53" s="166"/>
      <c r="GU53" s="166"/>
      <c r="GV53" s="166"/>
      <c r="GW53" s="166"/>
      <c r="GX53" s="166"/>
      <c r="GY53" s="166"/>
      <c r="GZ53" s="166"/>
      <c r="HA53" s="166"/>
      <c r="HB53" s="166"/>
      <c r="HC53" s="166"/>
      <c r="HD53" s="166"/>
      <c r="HE53" s="166"/>
      <c r="HF53" s="166"/>
      <c r="HG53" s="166"/>
      <c r="HH53" s="166"/>
      <c r="HI53" s="166"/>
      <c r="HJ53" s="166"/>
      <c r="HK53" s="166"/>
      <c r="HL53" s="166"/>
      <c r="HM53" s="166"/>
      <c r="HN53" s="166"/>
      <c r="HO53" s="166"/>
      <c r="HP53" s="166"/>
      <c r="HQ53" s="166"/>
      <c r="HR53" s="166"/>
      <c r="HS53" s="166"/>
      <c r="HT53" s="166"/>
      <c r="HU53" s="166"/>
      <c r="HV53" s="166"/>
      <c r="HW53" s="166"/>
      <c r="HX53" s="166"/>
      <c r="HY53" s="166"/>
      <c r="HZ53" s="166"/>
      <c r="IA53" s="166"/>
      <c r="IB53" s="166"/>
      <c r="IC53" s="166"/>
      <c r="ID53" s="166"/>
      <c r="IE53" s="166"/>
      <c r="IF53" s="166"/>
      <c r="IG53" s="166"/>
      <c r="IH53" s="166"/>
      <c r="II53" s="166"/>
      <c r="IJ53" s="166"/>
      <c r="IK53" s="166"/>
      <c r="IL53" s="166"/>
      <c r="IM53" s="166"/>
      <c r="IN53" s="166"/>
      <c r="IO53" s="166"/>
      <c r="IP53" s="166"/>
      <c r="IQ53" s="166"/>
      <c r="IR53" s="166"/>
      <c r="IS53" s="166"/>
      <c r="IT53" s="166"/>
      <c r="IU53" s="166"/>
      <c r="IV53" s="166"/>
    </row>
    <row r="54" spans="1:256" s="537" customFormat="1" ht="16.5" customHeight="1" thickBot="1" x14ac:dyDescent="0.25">
      <c r="A54" s="105" t="s">
        <v>77</v>
      </c>
      <c r="B54" s="29">
        <f t="shared" ref="B54:G54" si="6">B49-B53</f>
        <v>2780.9</v>
      </c>
      <c r="C54" s="29">
        <f t="shared" si="6"/>
        <v>3955</v>
      </c>
      <c r="D54" s="29">
        <f t="shared" si="6"/>
        <v>3891</v>
      </c>
      <c r="E54" s="29">
        <f t="shared" si="6"/>
        <v>4560</v>
      </c>
      <c r="F54" s="29">
        <f t="shared" si="6"/>
        <v>4957</v>
      </c>
      <c r="G54" s="29">
        <f t="shared" si="6"/>
        <v>5015</v>
      </c>
      <c r="H54" s="1063"/>
      <c r="I54" s="727"/>
      <c r="J54" s="727"/>
      <c r="K54" s="727"/>
      <c r="L54" s="727"/>
      <c r="M54" s="727"/>
      <c r="N54" s="727"/>
      <c r="O54" s="727"/>
      <c r="P54" s="727"/>
      <c r="Q54" s="727"/>
      <c r="R54" s="727"/>
      <c r="S54" s="727"/>
      <c r="T54" s="727"/>
      <c r="U54" s="727"/>
      <c r="V54" s="727"/>
      <c r="W54" s="727"/>
      <c r="X54" s="727"/>
      <c r="Y54" s="727"/>
      <c r="Z54" s="727"/>
      <c r="AA54" s="419"/>
      <c r="AB54" s="419"/>
      <c r="AC54" s="419"/>
      <c r="AD54" s="419"/>
      <c r="AE54" s="419"/>
      <c r="AF54" s="419"/>
      <c r="AG54" s="419"/>
      <c r="AH54" s="419"/>
      <c r="AI54" s="419"/>
      <c r="AJ54" s="419"/>
      <c r="AK54" s="419"/>
      <c r="AL54" s="419"/>
      <c r="AM54" s="419"/>
      <c r="AN54" s="419"/>
      <c r="AO54" s="419"/>
      <c r="AP54" s="419"/>
      <c r="AQ54" s="419"/>
      <c r="AR54" s="419"/>
      <c r="AS54" s="419"/>
      <c r="AT54" s="419"/>
      <c r="AU54" s="419"/>
      <c r="AV54" s="419"/>
      <c r="AW54" s="419"/>
      <c r="AX54" s="419"/>
      <c r="AY54" s="419"/>
      <c r="AZ54" s="419"/>
      <c r="BA54" s="419"/>
      <c r="BB54" s="419"/>
      <c r="BC54" s="419"/>
      <c r="BD54" s="419"/>
      <c r="BE54" s="419"/>
      <c r="BF54" s="419"/>
      <c r="BG54" s="419"/>
      <c r="BH54" s="419"/>
      <c r="BI54" s="419"/>
      <c r="BJ54" s="419"/>
      <c r="BK54" s="419"/>
      <c r="BL54" s="419"/>
      <c r="BM54" s="419"/>
      <c r="BN54" s="419"/>
      <c r="BO54" s="419"/>
      <c r="BP54" s="419"/>
      <c r="BQ54" s="419"/>
      <c r="BR54" s="419"/>
      <c r="BS54" s="419"/>
      <c r="BT54" s="419"/>
      <c r="BU54" s="419"/>
      <c r="BV54" s="419"/>
      <c r="BW54" s="419"/>
      <c r="BX54" s="419"/>
      <c r="BY54" s="419"/>
      <c r="BZ54" s="419"/>
      <c r="CA54" s="419"/>
      <c r="CB54" s="419"/>
      <c r="CC54" s="419"/>
      <c r="CD54" s="419"/>
      <c r="CE54" s="419"/>
      <c r="CF54" s="419"/>
      <c r="CG54" s="419"/>
      <c r="CH54" s="419"/>
      <c r="CI54" s="419"/>
      <c r="CJ54" s="419"/>
      <c r="CK54" s="419"/>
      <c r="CL54" s="419"/>
      <c r="CM54" s="419"/>
      <c r="CN54" s="419"/>
      <c r="CO54" s="419"/>
      <c r="CP54" s="419"/>
      <c r="CQ54" s="419"/>
      <c r="CR54" s="419"/>
      <c r="CS54" s="419"/>
      <c r="CT54" s="419"/>
      <c r="CU54" s="419"/>
      <c r="CV54" s="419"/>
      <c r="CW54" s="419"/>
      <c r="CX54" s="419"/>
      <c r="CY54" s="419"/>
      <c r="CZ54" s="419"/>
      <c r="DA54" s="419"/>
      <c r="DB54" s="419"/>
      <c r="DC54" s="419"/>
      <c r="DD54" s="419"/>
      <c r="DE54" s="419"/>
      <c r="DF54" s="419"/>
      <c r="DG54" s="419"/>
      <c r="DH54" s="419"/>
      <c r="DI54" s="419"/>
      <c r="DJ54" s="419"/>
      <c r="DK54" s="419"/>
      <c r="DL54" s="419"/>
      <c r="DM54" s="419"/>
      <c r="DN54" s="419"/>
      <c r="DO54" s="419"/>
      <c r="DP54" s="419"/>
      <c r="DQ54" s="419"/>
      <c r="DR54" s="419"/>
      <c r="DS54" s="419"/>
      <c r="DT54" s="419"/>
      <c r="DU54" s="419"/>
      <c r="DV54" s="419"/>
      <c r="DW54" s="419"/>
      <c r="DX54" s="419"/>
      <c r="DY54" s="419"/>
      <c r="DZ54" s="419"/>
      <c r="EA54" s="419"/>
      <c r="EB54" s="419"/>
      <c r="EC54" s="419"/>
      <c r="ED54" s="419"/>
      <c r="EE54" s="419"/>
      <c r="EF54" s="419"/>
      <c r="EG54" s="419"/>
      <c r="EH54" s="419"/>
      <c r="EI54" s="419"/>
      <c r="EJ54" s="419"/>
      <c r="EK54" s="419"/>
      <c r="EL54" s="419"/>
      <c r="EM54" s="419"/>
      <c r="EN54" s="419"/>
      <c r="EO54" s="419"/>
      <c r="EP54" s="419"/>
      <c r="EQ54" s="419"/>
      <c r="ER54" s="419"/>
      <c r="ES54" s="419"/>
      <c r="ET54" s="419"/>
      <c r="EU54" s="419"/>
      <c r="EV54" s="419"/>
      <c r="EW54" s="419"/>
      <c r="EX54" s="419"/>
      <c r="EY54" s="419"/>
      <c r="EZ54" s="419"/>
      <c r="FA54" s="419"/>
      <c r="FB54" s="419"/>
      <c r="FC54" s="419"/>
      <c r="FD54" s="419"/>
      <c r="FE54" s="419"/>
      <c r="FF54" s="419"/>
      <c r="FG54" s="419"/>
      <c r="FH54" s="419"/>
      <c r="FI54" s="419"/>
      <c r="FJ54" s="419"/>
      <c r="FK54" s="419"/>
      <c r="FL54" s="419"/>
      <c r="FM54" s="419"/>
      <c r="FN54" s="419"/>
      <c r="FO54" s="419"/>
      <c r="FP54" s="419"/>
      <c r="FQ54" s="419"/>
      <c r="FR54" s="419"/>
      <c r="FS54" s="419"/>
      <c r="FT54" s="419"/>
      <c r="FU54" s="419"/>
      <c r="FV54" s="419"/>
      <c r="FW54" s="419"/>
      <c r="FX54" s="419"/>
      <c r="FY54" s="419"/>
      <c r="FZ54" s="419"/>
      <c r="GA54" s="419"/>
      <c r="GB54" s="419"/>
      <c r="GC54" s="419"/>
      <c r="GD54" s="419"/>
      <c r="GE54" s="419"/>
      <c r="GF54" s="419"/>
      <c r="GG54" s="419"/>
      <c r="GH54" s="419"/>
      <c r="GI54" s="419"/>
      <c r="GJ54" s="419"/>
      <c r="GK54" s="419"/>
      <c r="GL54" s="419"/>
      <c r="GM54" s="419"/>
      <c r="GN54" s="419"/>
      <c r="GO54" s="419"/>
      <c r="GP54" s="419"/>
      <c r="GQ54" s="419"/>
      <c r="GR54" s="419"/>
      <c r="GS54" s="419"/>
      <c r="GT54" s="419"/>
      <c r="GU54" s="419"/>
      <c r="GV54" s="419"/>
      <c r="GW54" s="419"/>
      <c r="GX54" s="419"/>
      <c r="GY54" s="419"/>
      <c r="GZ54" s="419"/>
      <c r="HA54" s="419"/>
      <c r="HB54" s="419"/>
      <c r="HC54" s="419"/>
      <c r="HD54" s="419"/>
      <c r="HE54" s="419"/>
      <c r="HF54" s="419"/>
      <c r="HG54" s="419"/>
      <c r="HH54" s="419"/>
      <c r="HI54" s="419"/>
      <c r="HJ54" s="419"/>
      <c r="HK54" s="419"/>
      <c r="HL54" s="419"/>
      <c r="HM54" s="419"/>
      <c r="HN54" s="419"/>
      <c r="HO54" s="419"/>
      <c r="HP54" s="419"/>
      <c r="HQ54" s="419"/>
      <c r="HR54" s="419"/>
      <c r="HS54" s="419"/>
      <c r="HT54" s="419"/>
      <c r="HU54" s="419"/>
      <c r="HV54" s="419"/>
      <c r="HW54" s="419"/>
      <c r="HX54" s="419"/>
      <c r="HY54" s="419"/>
      <c r="HZ54" s="419"/>
      <c r="IA54" s="419"/>
      <c r="IB54" s="419"/>
      <c r="IC54" s="419"/>
      <c r="ID54" s="419"/>
      <c r="IE54" s="419"/>
      <c r="IF54" s="419"/>
      <c r="IG54" s="419"/>
      <c r="IH54" s="419"/>
      <c r="II54" s="419"/>
      <c r="IJ54" s="419"/>
      <c r="IK54" s="419"/>
      <c r="IL54" s="419"/>
      <c r="IM54" s="419"/>
      <c r="IN54" s="419"/>
      <c r="IO54" s="419"/>
      <c r="IP54" s="419"/>
      <c r="IQ54" s="419"/>
      <c r="IR54" s="419"/>
      <c r="IS54" s="419"/>
      <c r="IT54" s="419"/>
      <c r="IU54" s="419"/>
      <c r="IV54" s="419"/>
    </row>
    <row r="55" spans="1:256" s="538" customFormat="1" ht="16.5" customHeight="1" thickBot="1" x14ac:dyDescent="0.25">
      <c r="A55" s="485" t="s">
        <v>510</v>
      </c>
      <c r="B55" s="540" t="s">
        <v>47</v>
      </c>
      <c r="C55" s="486">
        <f>ROUND(AVERAGE(B54:C54),-1)</f>
        <v>3370</v>
      </c>
      <c r="D55" s="486">
        <f>ROUND(AVERAGE(C54:D54),-1)</f>
        <v>3920</v>
      </c>
      <c r="E55" s="486">
        <f>ROUND(AVERAGE(D54:E54),-1)</f>
        <v>4230</v>
      </c>
      <c r="F55" s="486">
        <f>ROUND(AVERAGE(E54:F54),-1)</f>
        <v>4760</v>
      </c>
      <c r="G55" s="486">
        <f>ROUND(AVERAGE(F54:G54),-1)</f>
        <v>4990</v>
      </c>
      <c r="H55" s="1056"/>
      <c r="I55" s="1056"/>
      <c r="J55" s="1056"/>
      <c r="K55" s="1056"/>
      <c r="L55" s="1056"/>
      <c r="M55" s="1056"/>
      <c r="N55" s="1056"/>
      <c r="O55" s="1056"/>
      <c r="P55" s="1056"/>
      <c r="Q55" s="1056"/>
      <c r="R55" s="1056"/>
      <c r="S55" s="1056"/>
      <c r="T55" s="1056"/>
      <c r="U55" s="1056"/>
      <c r="V55" s="1056"/>
      <c r="W55" s="1056"/>
      <c r="X55" s="1056"/>
      <c r="Y55" s="1056"/>
      <c r="Z55" s="1056"/>
      <c r="AA55" s="488"/>
      <c r="AB55" s="488"/>
      <c r="AC55" s="488"/>
      <c r="AD55" s="488"/>
      <c r="AE55" s="488"/>
      <c r="AF55" s="488"/>
      <c r="AG55" s="488"/>
      <c r="AH55" s="488"/>
      <c r="AI55" s="488"/>
      <c r="AJ55" s="488"/>
      <c r="AK55" s="488"/>
      <c r="AL55" s="488"/>
      <c r="AM55" s="488"/>
      <c r="AN55" s="488"/>
      <c r="AO55" s="488"/>
      <c r="AP55" s="488"/>
      <c r="AQ55" s="488"/>
      <c r="AR55" s="488"/>
      <c r="AS55" s="488"/>
      <c r="AT55" s="488"/>
      <c r="AU55" s="488"/>
      <c r="AV55" s="488"/>
      <c r="AW55" s="488"/>
      <c r="AX55" s="488"/>
      <c r="AY55" s="488"/>
      <c r="AZ55" s="488"/>
      <c r="BA55" s="488"/>
      <c r="BB55" s="488"/>
      <c r="BC55" s="488"/>
      <c r="BD55" s="488"/>
      <c r="BE55" s="488"/>
      <c r="BF55" s="488"/>
      <c r="BG55" s="488"/>
      <c r="BH55" s="488"/>
      <c r="BI55" s="488"/>
      <c r="BJ55" s="488"/>
      <c r="BK55" s="488"/>
      <c r="BL55" s="488"/>
      <c r="BM55" s="488"/>
      <c r="BN55" s="488"/>
      <c r="BO55" s="488"/>
      <c r="BP55" s="488"/>
      <c r="BQ55" s="488"/>
      <c r="BR55" s="488"/>
      <c r="BS55" s="488"/>
      <c r="BT55" s="488"/>
      <c r="BU55" s="488"/>
      <c r="BV55" s="488"/>
      <c r="BW55" s="488"/>
      <c r="BX55" s="488"/>
      <c r="BY55" s="488"/>
      <c r="BZ55" s="488"/>
      <c r="CA55" s="488"/>
      <c r="CB55" s="488"/>
      <c r="CC55" s="488"/>
      <c r="CD55" s="488"/>
      <c r="CE55" s="488"/>
      <c r="CF55" s="488"/>
      <c r="CG55" s="488"/>
      <c r="CH55" s="488"/>
      <c r="CI55" s="488"/>
      <c r="CJ55" s="488"/>
      <c r="CK55" s="488"/>
      <c r="CL55" s="488"/>
      <c r="CM55" s="488"/>
      <c r="CN55" s="488"/>
      <c r="CO55" s="488"/>
      <c r="CP55" s="488"/>
      <c r="CQ55" s="488"/>
      <c r="CR55" s="488"/>
      <c r="CS55" s="488"/>
      <c r="CT55" s="488"/>
      <c r="CU55" s="488"/>
      <c r="CV55" s="488"/>
      <c r="CW55" s="488"/>
      <c r="CX55" s="488"/>
      <c r="CY55" s="488"/>
      <c r="CZ55" s="488"/>
      <c r="DA55" s="488"/>
      <c r="DB55" s="488"/>
      <c r="DC55" s="488"/>
      <c r="DD55" s="488"/>
      <c r="DE55" s="488"/>
      <c r="DF55" s="488"/>
      <c r="DG55" s="488"/>
      <c r="DH55" s="488"/>
      <c r="DI55" s="488"/>
      <c r="DJ55" s="488"/>
      <c r="DK55" s="488"/>
      <c r="DL55" s="488"/>
      <c r="DM55" s="488"/>
      <c r="DN55" s="488"/>
      <c r="DO55" s="488"/>
      <c r="DP55" s="488"/>
      <c r="DQ55" s="488"/>
      <c r="DR55" s="488"/>
      <c r="DS55" s="488"/>
      <c r="DT55" s="488"/>
      <c r="DU55" s="488"/>
      <c r="DV55" s="488"/>
      <c r="DW55" s="488"/>
      <c r="DX55" s="488"/>
      <c r="DY55" s="488"/>
      <c r="DZ55" s="488"/>
      <c r="EA55" s="488"/>
      <c r="EB55" s="488"/>
      <c r="EC55" s="488"/>
      <c r="ED55" s="488"/>
      <c r="EE55" s="488"/>
      <c r="EF55" s="488"/>
      <c r="EG55" s="488"/>
      <c r="EH55" s="488"/>
      <c r="EI55" s="488"/>
      <c r="EJ55" s="488"/>
      <c r="EK55" s="488"/>
      <c r="EL55" s="488"/>
      <c r="EM55" s="488"/>
      <c r="EN55" s="488"/>
      <c r="EO55" s="488"/>
      <c r="EP55" s="488"/>
      <c r="EQ55" s="488"/>
      <c r="ER55" s="488"/>
      <c r="ES55" s="488"/>
      <c r="ET55" s="488"/>
      <c r="EU55" s="488"/>
      <c r="EV55" s="488"/>
      <c r="EW55" s="488"/>
      <c r="EX55" s="488"/>
      <c r="EY55" s="488"/>
      <c r="EZ55" s="488"/>
      <c r="FA55" s="488"/>
      <c r="FB55" s="488"/>
      <c r="FC55" s="488"/>
      <c r="FD55" s="488"/>
      <c r="FE55" s="488"/>
      <c r="FF55" s="488"/>
      <c r="FG55" s="488"/>
      <c r="FH55" s="488"/>
      <c r="FI55" s="488"/>
      <c r="FJ55" s="488"/>
      <c r="FK55" s="488"/>
      <c r="FL55" s="488"/>
      <c r="FM55" s="488"/>
      <c r="FN55" s="488"/>
      <c r="FO55" s="488"/>
      <c r="FP55" s="488"/>
      <c r="FQ55" s="488"/>
      <c r="FR55" s="488"/>
      <c r="FS55" s="488"/>
      <c r="FT55" s="488"/>
      <c r="FU55" s="488"/>
      <c r="FV55" s="488"/>
      <c r="FW55" s="488"/>
      <c r="FX55" s="488"/>
      <c r="FY55" s="488"/>
      <c r="FZ55" s="488"/>
      <c r="GA55" s="488"/>
      <c r="GB55" s="488"/>
      <c r="GC55" s="488"/>
      <c r="GD55" s="488"/>
      <c r="GE55" s="488"/>
      <c r="GF55" s="488"/>
      <c r="GG55" s="488"/>
      <c r="GH55" s="488"/>
      <c r="GI55" s="488"/>
      <c r="GJ55" s="488"/>
      <c r="GK55" s="488"/>
      <c r="GL55" s="488"/>
      <c r="GM55" s="488"/>
      <c r="GN55" s="488"/>
      <c r="GO55" s="488"/>
      <c r="GP55" s="488"/>
      <c r="GQ55" s="488"/>
      <c r="GR55" s="488"/>
      <c r="GS55" s="488"/>
      <c r="GT55" s="488"/>
      <c r="GU55" s="488"/>
      <c r="GV55" s="488"/>
      <c r="GW55" s="488"/>
      <c r="GX55" s="488"/>
      <c r="GY55" s="488"/>
      <c r="GZ55" s="488"/>
      <c r="HA55" s="488"/>
      <c r="HB55" s="488"/>
      <c r="HC55" s="488"/>
      <c r="HD55" s="488"/>
      <c r="HE55" s="488"/>
      <c r="HF55" s="488"/>
      <c r="HG55" s="488"/>
      <c r="HH55" s="488"/>
      <c r="HI55" s="488"/>
      <c r="HJ55" s="488"/>
      <c r="HK55" s="488"/>
      <c r="HL55" s="488"/>
      <c r="HM55" s="488"/>
      <c r="HN55" s="488"/>
      <c r="HO55" s="488"/>
      <c r="HP55" s="488"/>
      <c r="HQ55" s="488"/>
      <c r="HR55" s="488"/>
      <c r="HS55" s="488"/>
      <c r="HT55" s="488"/>
      <c r="HU55" s="488"/>
      <c r="HV55" s="488"/>
      <c r="HW55" s="488"/>
      <c r="HX55" s="488"/>
      <c r="HY55" s="488"/>
      <c r="HZ55" s="488"/>
      <c r="IA55" s="488"/>
      <c r="IB55" s="488"/>
      <c r="IC55" s="488"/>
      <c r="ID55" s="488"/>
      <c r="IE55" s="488"/>
      <c r="IF55" s="488"/>
      <c r="IG55" s="488"/>
      <c r="IH55" s="488"/>
      <c r="II55" s="488"/>
      <c r="IJ55" s="488"/>
      <c r="IK55" s="488"/>
      <c r="IL55" s="488"/>
      <c r="IM55" s="488"/>
      <c r="IN55" s="488"/>
      <c r="IO55" s="488"/>
      <c r="IP55" s="488"/>
      <c r="IQ55" s="488"/>
      <c r="IR55" s="488"/>
      <c r="IS55" s="488"/>
      <c r="IT55" s="488"/>
      <c r="IU55" s="488"/>
      <c r="IV55" s="488"/>
    </row>
    <row r="56" spans="1:256" s="208" customFormat="1" ht="5.25" customHeight="1" x14ac:dyDescent="0.2">
      <c r="A56" s="193"/>
      <c r="B56" s="193"/>
      <c r="C56" s="193"/>
      <c r="D56" s="193"/>
      <c r="E56" s="193"/>
      <c r="F56" s="193"/>
      <c r="G56" s="193"/>
      <c r="H56" s="677"/>
      <c r="I56" s="677"/>
      <c r="J56" s="677"/>
      <c r="K56" s="677"/>
      <c r="L56" s="677"/>
      <c r="M56" s="677"/>
      <c r="N56" s="677"/>
      <c r="O56" s="677"/>
      <c r="P56" s="677"/>
      <c r="Q56" s="677"/>
      <c r="R56" s="677"/>
      <c r="S56" s="677"/>
      <c r="T56" s="677"/>
      <c r="U56" s="677"/>
      <c r="V56" s="677"/>
      <c r="W56" s="677"/>
      <c r="X56" s="677"/>
      <c r="Y56" s="677"/>
      <c r="Z56" s="677"/>
      <c r="AA56" s="193"/>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3"/>
      <c r="BR56" s="193"/>
      <c r="BS56" s="193"/>
      <c r="BT56" s="193"/>
      <c r="BU56" s="193"/>
      <c r="BV56" s="193"/>
      <c r="BW56" s="193"/>
      <c r="BX56" s="193"/>
      <c r="BY56" s="193"/>
      <c r="BZ56" s="193"/>
      <c r="CA56" s="193"/>
      <c r="CB56" s="193"/>
      <c r="CC56" s="193"/>
      <c r="CD56" s="193"/>
      <c r="CE56" s="193"/>
      <c r="CF56" s="193"/>
      <c r="CG56" s="193"/>
      <c r="CH56" s="193"/>
      <c r="CI56" s="193"/>
      <c r="CJ56" s="193"/>
      <c r="CK56" s="193"/>
      <c r="CL56" s="193"/>
      <c r="CM56" s="193"/>
      <c r="CN56" s="193"/>
      <c r="CO56" s="193"/>
      <c r="CP56" s="193"/>
      <c r="CQ56" s="193"/>
      <c r="CR56" s="193"/>
      <c r="CS56" s="193"/>
      <c r="CT56" s="193"/>
      <c r="CU56" s="193"/>
      <c r="CV56" s="193"/>
      <c r="CW56" s="193"/>
      <c r="CX56" s="193"/>
      <c r="CY56" s="193"/>
      <c r="CZ56" s="193"/>
      <c r="DA56" s="193"/>
      <c r="DB56" s="193"/>
      <c r="DC56" s="193"/>
      <c r="DD56" s="193"/>
      <c r="DE56" s="193"/>
      <c r="DF56" s="193"/>
      <c r="DG56" s="193"/>
      <c r="DH56" s="193"/>
      <c r="DI56" s="193"/>
      <c r="DJ56" s="193"/>
      <c r="DK56" s="193"/>
      <c r="DL56" s="193"/>
      <c r="DM56" s="193"/>
      <c r="DN56" s="193"/>
      <c r="DO56" s="193"/>
      <c r="DP56" s="193"/>
      <c r="DQ56" s="193"/>
      <c r="DR56" s="193"/>
      <c r="DS56" s="193"/>
      <c r="DT56" s="193"/>
      <c r="DU56" s="193"/>
      <c r="DV56" s="193"/>
      <c r="DW56" s="193"/>
      <c r="DX56" s="193"/>
      <c r="DY56" s="193"/>
      <c r="DZ56" s="193"/>
      <c r="EA56" s="193"/>
      <c r="EB56" s="193"/>
      <c r="EC56" s="193"/>
      <c r="ED56" s="193"/>
      <c r="EE56" s="193"/>
      <c r="EF56" s="193"/>
      <c r="EG56" s="193"/>
      <c r="EH56" s="193"/>
      <c r="EI56" s="193"/>
      <c r="EJ56" s="193"/>
      <c r="EK56" s="193"/>
      <c r="EL56" s="193"/>
      <c r="EM56" s="193"/>
      <c r="EN56" s="193"/>
      <c r="EO56" s="193"/>
      <c r="EP56" s="193"/>
      <c r="EQ56" s="193"/>
      <c r="ER56" s="193"/>
      <c r="ES56" s="193"/>
      <c r="ET56" s="193"/>
      <c r="EU56" s="193"/>
      <c r="EV56" s="193"/>
      <c r="EW56" s="193"/>
      <c r="EX56" s="193"/>
      <c r="EY56" s="193"/>
      <c r="EZ56" s="193"/>
      <c r="FA56" s="193"/>
      <c r="FB56" s="193"/>
      <c r="FC56" s="193"/>
      <c r="FD56" s="193"/>
      <c r="FE56" s="193"/>
      <c r="FF56" s="193"/>
      <c r="FG56" s="193"/>
      <c r="FH56" s="193"/>
      <c r="FI56" s="193"/>
      <c r="FJ56" s="193"/>
      <c r="FK56" s="193"/>
      <c r="FL56" s="193"/>
      <c r="FM56" s="193"/>
      <c r="FN56" s="193"/>
      <c r="FO56" s="193"/>
      <c r="FP56" s="193"/>
      <c r="FQ56" s="193"/>
      <c r="FR56" s="193"/>
      <c r="FS56" s="193"/>
      <c r="FT56" s="193"/>
      <c r="FU56" s="193"/>
      <c r="FV56" s="193"/>
      <c r="FW56" s="193"/>
      <c r="FX56" s="193"/>
      <c r="FY56" s="193"/>
      <c r="FZ56" s="193"/>
      <c r="GA56" s="193"/>
      <c r="GB56" s="193"/>
      <c r="GC56" s="193"/>
      <c r="GD56" s="193"/>
      <c r="GE56" s="193"/>
      <c r="GF56" s="193"/>
      <c r="GG56" s="193"/>
      <c r="GH56" s="193"/>
      <c r="GI56" s="193"/>
      <c r="GJ56" s="193"/>
      <c r="GK56" s="193"/>
      <c r="GL56" s="193"/>
      <c r="GM56" s="193"/>
      <c r="GN56" s="193"/>
      <c r="GO56" s="193"/>
      <c r="GP56" s="193"/>
      <c r="GQ56" s="193"/>
      <c r="GR56" s="193"/>
      <c r="GS56" s="193"/>
      <c r="GT56" s="193"/>
      <c r="GU56" s="193"/>
      <c r="GV56" s="193"/>
      <c r="GW56" s="193"/>
      <c r="GX56" s="193"/>
      <c r="GY56" s="193"/>
      <c r="GZ56" s="193"/>
      <c r="HA56" s="193"/>
      <c r="HB56" s="193"/>
      <c r="HC56" s="193"/>
      <c r="HD56" s="193"/>
      <c r="HE56" s="193"/>
      <c r="HF56" s="193"/>
      <c r="HG56" s="193"/>
      <c r="HH56" s="193"/>
      <c r="HI56" s="193"/>
      <c r="HJ56" s="193"/>
      <c r="HK56" s="193"/>
      <c r="HL56" s="193"/>
      <c r="HM56" s="193"/>
      <c r="HN56" s="193"/>
      <c r="HO56" s="193"/>
      <c r="HP56" s="193"/>
      <c r="HQ56" s="193"/>
      <c r="HR56" s="193"/>
      <c r="HS56" s="193"/>
      <c r="HT56" s="193"/>
      <c r="HU56" s="193"/>
      <c r="HV56" s="193"/>
      <c r="HW56" s="193"/>
      <c r="HX56" s="193"/>
      <c r="HY56" s="193"/>
      <c r="HZ56" s="193"/>
      <c r="IA56" s="193"/>
      <c r="IB56" s="193"/>
      <c r="IC56" s="193"/>
      <c r="ID56" s="193"/>
      <c r="IE56" s="193"/>
      <c r="IF56" s="193"/>
      <c r="IG56" s="193"/>
      <c r="IH56" s="193"/>
      <c r="II56" s="193"/>
      <c r="IJ56" s="193"/>
      <c r="IK56" s="193"/>
      <c r="IL56" s="193"/>
      <c r="IM56" s="193"/>
      <c r="IN56" s="193"/>
      <c r="IO56" s="193"/>
      <c r="IP56" s="193"/>
      <c r="IQ56" s="193"/>
      <c r="IR56" s="193"/>
      <c r="IS56" s="193"/>
      <c r="IT56" s="193"/>
      <c r="IU56" s="193"/>
      <c r="IV56" s="193"/>
    </row>
    <row r="57" spans="1:256" s="208" customFormat="1" ht="16.5" customHeight="1" x14ac:dyDescent="0.2">
      <c r="A57" s="482" t="s">
        <v>420</v>
      </c>
      <c r="B57" s="207"/>
      <c r="C57" s="193"/>
      <c r="D57" s="193"/>
      <c r="E57" s="193"/>
      <c r="F57" s="193"/>
      <c r="G57" s="193"/>
      <c r="H57" s="677"/>
      <c r="I57" s="677"/>
      <c r="J57" s="677"/>
      <c r="K57" s="677"/>
      <c r="L57" s="677"/>
      <c r="M57" s="677"/>
      <c r="N57" s="677"/>
      <c r="O57" s="677"/>
      <c r="P57" s="677"/>
      <c r="Q57" s="677"/>
      <c r="R57" s="677"/>
      <c r="S57" s="677"/>
      <c r="T57" s="677"/>
      <c r="U57" s="677"/>
      <c r="V57" s="677"/>
      <c r="W57" s="677"/>
      <c r="X57" s="677"/>
      <c r="Y57" s="677"/>
      <c r="Z57" s="677"/>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193"/>
      <c r="BW57" s="193"/>
      <c r="BX57" s="193"/>
      <c r="BY57" s="193"/>
      <c r="BZ57" s="193"/>
      <c r="CA57" s="193"/>
      <c r="CB57" s="193"/>
      <c r="CC57" s="193"/>
      <c r="CD57" s="193"/>
      <c r="CE57" s="193"/>
      <c r="CF57" s="193"/>
      <c r="CG57" s="193"/>
      <c r="CH57" s="193"/>
      <c r="CI57" s="193"/>
      <c r="CJ57" s="193"/>
      <c r="CK57" s="193"/>
      <c r="CL57" s="193"/>
      <c r="CM57" s="193"/>
      <c r="CN57" s="193"/>
      <c r="CO57" s="193"/>
      <c r="CP57" s="193"/>
      <c r="CQ57" s="193"/>
      <c r="CR57" s="193"/>
      <c r="CS57" s="193"/>
      <c r="CT57" s="193"/>
      <c r="CU57" s="193"/>
      <c r="CV57" s="193"/>
      <c r="CW57" s="193"/>
      <c r="CX57" s="193"/>
      <c r="CY57" s="193"/>
      <c r="CZ57" s="193"/>
      <c r="DA57" s="193"/>
      <c r="DB57" s="193"/>
      <c r="DC57" s="193"/>
      <c r="DD57" s="193"/>
      <c r="DE57" s="193"/>
      <c r="DF57" s="193"/>
      <c r="DG57" s="193"/>
      <c r="DH57" s="193"/>
      <c r="DI57" s="193"/>
      <c r="DJ57" s="193"/>
      <c r="DK57" s="193"/>
      <c r="DL57" s="193"/>
      <c r="DM57" s="193"/>
      <c r="DN57" s="193"/>
      <c r="DO57" s="193"/>
      <c r="DP57" s="193"/>
      <c r="DQ57" s="193"/>
      <c r="DR57" s="193"/>
      <c r="DS57" s="193"/>
      <c r="DT57" s="193"/>
      <c r="DU57" s="193"/>
      <c r="DV57" s="193"/>
      <c r="DW57" s="193"/>
      <c r="DX57" s="193"/>
      <c r="DY57" s="193"/>
      <c r="DZ57" s="193"/>
      <c r="EA57" s="193"/>
      <c r="EB57" s="193"/>
      <c r="EC57" s="193"/>
      <c r="ED57" s="193"/>
      <c r="EE57" s="193"/>
      <c r="EF57" s="193"/>
      <c r="EG57" s="193"/>
      <c r="EH57" s="193"/>
      <c r="EI57" s="193"/>
      <c r="EJ57" s="193"/>
      <c r="EK57" s="193"/>
      <c r="EL57" s="193"/>
      <c r="EM57" s="193"/>
      <c r="EN57" s="193"/>
      <c r="EO57" s="193"/>
      <c r="EP57" s="193"/>
      <c r="EQ57" s="193"/>
      <c r="ER57" s="193"/>
      <c r="ES57" s="193"/>
      <c r="ET57" s="193"/>
      <c r="EU57" s="193"/>
      <c r="EV57" s="193"/>
      <c r="EW57" s="193"/>
      <c r="EX57" s="193"/>
      <c r="EY57" s="193"/>
      <c r="EZ57" s="193"/>
      <c r="FA57" s="193"/>
      <c r="FB57" s="193"/>
      <c r="FC57" s="193"/>
      <c r="FD57" s="193"/>
      <c r="FE57" s="193"/>
      <c r="FF57" s="193"/>
      <c r="FG57" s="193"/>
      <c r="FH57" s="193"/>
      <c r="FI57" s="193"/>
      <c r="FJ57" s="193"/>
      <c r="FK57" s="193"/>
      <c r="FL57" s="193"/>
      <c r="FM57" s="193"/>
      <c r="FN57" s="193"/>
      <c r="FO57" s="193"/>
      <c r="FP57" s="193"/>
      <c r="FQ57" s="193"/>
      <c r="FR57" s="193"/>
      <c r="FS57" s="193"/>
      <c r="FT57" s="193"/>
      <c r="FU57" s="193"/>
      <c r="FV57" s="193"/>
      <c r="FW57" s="193"/>
      <c r="FX57" s="193"/>
      <c r="FY57" s="193"/>
      <c r="FZ57" s="193"/>
      <c r="GA57" s="193"/>
      <c r="GB57" s="193"/>
      <c r="GC57" s="193"/>
      <c r="GD57" s="193"/>
      <c r="GE57" s="193"/>
      <c r="GF57" s="193"/>
      <c r="GG57" s="193"/>
      <c r="GH57" s="193"/>
      <c r="GI57" s="193"/>
      <c r="GJ57" s="193"/>
      <c r="GK57" s="193"/>
      <c r="GL57" s="193"/>
      <c r="GM57" s="193"/>
      <c r="GN57" s="193"/>
      <c r="GO57" s="193"/>
      <c r="GP57" s="193"/>
      <c r="GQ57" s="193"/>
      <c r="GR57" s="193"/>
      <c r="GS57" s="193"/>
      <c r="GT57" s="193"/>
      <c r="GU57" s="193"/>
      <c r="GV57" s="193"/>
      <c r="GW57" s="193"/>
      <c r="GX57" s="193"/>
      <c r="GY57" s="193"/>
      <c r="GZ57" s="193"/>
      <c r="HA57" s="193"/>
      <c r="HB57" s="193"/>
      <c r="HC57" s="193"/>
      <c r="HD57" s="193"/>
      <c r="HE57" s="193"/>
      <c r="HF57" s="193"/>
      <c r="HG57" s="193"/>
      <c r="HH57" s="193"/>
      <c r="HI57" s="193"/>
      <c r="HJ57" s="193"/>
      <c r="HK57" s="193"/>
      <c r="HL57" s="193"/>
      <c r="HM57" s="193"/>
      <c r="HN57" s="193"/>
      <c r="HO57" s="193"/>
      <c r="HP57" s="193"/>
      <c r="HQ57" s="193"/>
      <c r="HR57" s="193"/>
      <c r="HS57" s="193"/>
      <c r="HT57" s="193"/>
      <c r="HU57" s="193"/>
      <c r="HV57" s="193"/>
      <c r="HW57" s="193"/>
      <c r="HX57" s="193"/>
      <c r="HY57" s="193"/>
      <c r="HZ57" s="193"/>
      <c r="IA57" s="193"/>
      <c r="IB57" s="193"/>
      <c r="IC57" s="193"/>
      <c r="ID57" s="193"/>
      <c r="IE57" s="193"/>
      <c r="IF57" s="193"/>
      <c r="IG57" s="193"/>
      <c r="IH57" s="193"/>
      <c r="II57" s="193"/>
      <c r="IJ57" s="193"/>
      <c r="IK57" s="193"/>
      <c r="IL57" s="193"/>
      <c r="IM57" s="193"/>
      <c r="IN57" s="193"/>
      <c r="IO57" s="193"/>
      <c r="IP57" s="193"/>
      <c r="IQ57" s="193"/>
      <c r="IR57" s="193"/>
      <c r="IS57" s="193"/>
      <c r="IT57" s="193"/>
      <c r="IU57" s="193"/>
      <c r="IV57" s="193"/>
    </row>
    <row r="58" spans="1:256" s="309" customFormat="1" ht="16.5" customHeight="1" x14ac:dyDescent="0.2">
      <c r="A58" s="235" t="s">
        <v>78</v>
      </c>
      <c r="B58" s="244"/>
      <c r="C58" s="96"/>
      <c r="D58" s="96"/>
      <c r="E58" s="96"/>
      <c r="F58" s="96"/>
      <c r="G58" s="96"/>
      <c r="H58" s="718"/>
      <c r="I58" s="718"/>
      <c r="J58" s="718"/>
      <c r="K58" s="718"/>
      <c r="L58" s="718"/>
      <c r="M58" s="718"/>
      <c r="N58" s="718"/>
      <c r="O58" s="718"/>
      <c r="P58" s="718"/>
      <c r="Q58" s="718"/>
      <c r="R58" s="718"/>
      <c r="S58" s="718"/>
      <c r="T58" s="718"/>
      <c r="U58" s="718"/>
      <c r="V58" s="718"/>
      <c r="W58" s="718"/>
      <c r="X58" s="718"/>
      <c r="Y58" s="718"/>
      <c r="Z58" s="718"/>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96"/>
      <c r="CI58" s="96"/>
      <c r="CJ58" s="96"/>
      <c r="CK58" s="96"/>
      <c r="CL58" s="96"/>
      <c r="CM58" s="96"/>
      <c r="CN58" s="96"/>
      <c r="CO58" s="96"/>
      <c r="CP58" s="96"/>
      <c r="CQ58" s="96"/>
      <c r="CR58" s="96"/>
      <c r="CS58" s="96"/>
      <c r="CT58" s="96"/>
      <c r="CU58" s="96"/>
      <c r="CV58" s="96"/>
      <c r="CW58" s="96"/>
      <c r="CX58" s="96"/>
      <c r="CY58" s="96"/>
      <c r="CZ58" s="96"/>
      <c r="DA58" s="96"/>
      <c r="DB58" s="96"/>
      <c r="DC58" s="96"/>
      <c r="DD58" s="96"/>
      <c r="DE58" s="96"/>
      <c r="DF58" s="96"/>
      <c r="DG58" s="96"/>
      <c r="DH58" s="96"/>
      <c r="DI58" s="96"/>
      <c r="DJ58" s="96"/>
      <c r="DK58" s="96"/>
      <c r="DL58" s="96"/>
      <c r="DM58" s="96"/>
      <c r="DN58" s="96"/>
      <c r="DO58" s="96"/>
      <c r="DP58" s="96"/>
      <c r="DQ58" s="96"/>
      <c r="DR58" s="96"/>
      <c r="DS58" s="96"/>
      <c r="DT58" s="96"/>
      <c r="DU58" s="96"/>
      <c r="DV58" s="96"/>
      <c r="DW58" s="96"/>
      <c r="DX58" s="96"/>
      <c r="DY58" s="96"/>
      <c r="DZ58" s="96"/>
      <c r="EA58" s="96"/>
      <c r="EB58" s="96"/>
      <c r="EC58" s="96"/>
      <c r="ED58" s="96"/>
      <c r="EE58" s="96"/>
      <c r="EF58" s="96"/>
      <c r="EG58" s="96"/>
      <c r="EH58" s="96"/>
      <c r="EI58" s="96"/>
      <c r="EJ58" s="96"/>
      <c r="EK58" s="96"/>
      <c r="EL58" s="96"/>
      <c r="EM58" s="96"/>
      <c r="EN58" s="96"/>
      <c r="EO58" s="96"/>
      <c r="EP58" s="96"/>
      <c r="EQ58" s="96"/>
      <c r="ER58" s="96"/>
      <c r="ES58" s="96"/>
      <c r="ET58" s="96"/>
      <c r="EU58" s="96"/>
      <c r="EV58" s="96"/>
      <c r="EW58" s="96"/>
      <c r="EX58" s="96"/>
      <c r="EY58" s="96"/>
      <c r="EZ58" s="96"/>
      <c r="FA58" s="96"/>
      <c r="FB58" s="96"/>
      <c r="FC58" s="96"/>
      <c r="FD58" s="96"/>
      <c r="FE58" s="96"/>
      <c r="FF58" s="96"/>
      <c r="FG58" s="96"/>
      <c r="FH58" s="96"/>
      <c r="FI58" s="96"/>
      <c r="FJ58" s="96"/>
      <c r="FK58" s="96"/>
      <c r="FL58" s="96"/>
      <c r="FM58" s="96"/>
      <c r="FN58" s="96"/>
      <c r="FO58" s="96"/>
      <c r="FP58" s="96"/>
      <c r="FQ58" s="96"/>
      <c r="FR58" s="96"/>
      <c r="FS58" s="96"/>
      <c r="FT58" s="96"/>
      <c r="FU58" s="96"/>
      <c r="FV58" s="96"/>
      <c r="FW58" s="96"/>
      <c r="FX58" s="96"/>
      <c r="FY58" s="96"/>
      <c r="FZ58" s="96"/>
      <c r="GA58" s="96"/>
      <c r="GB58" s="96"/>
      <c r="GC58" s="96"/>
      <c r="GD58" s="96"/>
      <c r="GE58" s="96"/>
      <c r="GF58" s="96"/>
      <c r="GG58" s="96"/>
      <c r="GH58" s="96"/>
      <c r="GI58" s="96"/>
      <c r="GJ58" s="96"/>
      <c r="GK58" s="96"/>
      <c r="GL58" s="96"/>
      <c r="GM58" s="96"/>
      <c r="GN58" s="96"/>
      <c r="GO58" s="96"/>
      <c r="GP58" s="96"/>
      <c r="GQ58" s="96"/>
      <c r="GR58" s="96"/>
      <c r="GS58" s="96"/>
      <c r="GT58" s="96"/>
      <c r="GU58" s="96"/>
      <c r="GV58" s="96"/>
      <c r="GW58" s="96"/>
      <c r="GX58" s="96"/>
      <c r="GY58" s="96"/>
      <c r="GZ58" s="96"/>
      <c r="HA58" s="96"/>
      <c r="HB58" s="96"/>
      <c r="HC58" s="96"/>
      <c r="HD58" s="96"/>
      <c r="HE58" s="96"/>
      <c r="HF58" s="96"/>
      <c r="HG58" s="96"/>
      <c r="HH58" s="96"/>
      <c r="HI58" s="96"/>
      <c r="HJ58" s="96"/>
      <c r="HK58" s="96"/>
      <c r="HL58" s="96"/>
      <c r="HM58" s="96"/>
      <c r="HN58" s="96"/>
      <c r="HO58" s="96"/>
      <c r="HP58" s="96"/>
      <c r="HQ58" s="96"/>
      <c r="HR58" s="96"/>
      <c r="HS58" s="96"/>
      <c r="HT58" s="96"/>
      <c r="HU58" s="96"/>
      <c r="HV58" s="96"/>
      <c r="HW58" s="96"/>
      <c r="HX58" s="96"/>
      <c r="HY58" s="96"/>
      <c r="HZ58" s="96"/>
      <c r="IA58" s="96"/>
      <c r="IB58" s="96"/>
      <c r="IC58" s="96"/>
      <c r="ID58" s="96"/>
      <c r="IE58" s="96"/>
      <c r="IF58" s="96"/>
      <c r="IG58" s="96"/>
      <c r="IH58" s="96"/>
      <c r="II58" s="96"/>
      <c r="IJ58" s="96"/>
      <c r="IK58" s="96"/>
      <c r="IL58" s="96"/>
      <c r="IM58" s="96"/>
      <c r="IN58" s="96"/>
      <c r="IO58" s="96"/>
      <c r="IP58" s="96"/>
      <c r="IQ58" s="96"/>
      <c r="IR58" s="96"/>
      <c r="IS58" s="96"/>
      <c r="IT58" s="96"/>
      <c r="IU58" s="96"/>
      <c r="IV58" s="96"/>
    </row>
    <row r="59" spans="1:256" s="548" customFormat="1" ht="16.5" customHeight="1" thickBot="1" x14ac:dyDescent="0.25">
      <c r="A59" s="489" t="s">
        <v>79</v>
      </c>
      <c r="B59" s="490">
        <f t="shared" ref="B59:G59" si="7">B34-B54</f>
        <v>2020.9999999999995</v>
      </c>
      <c r="C59" s="490">
        <f t="shared" si="7"/>
        <v>1956</v>
      </c>
      <c r="D59" s="490">
        <f t="shared" si="7"/>
        <v>1913</v>
      </c>
      <c r="E59" s="490">
        <f t="shared" si="7"/>
        <v>2080</v>
      </c>
      <c r="F59" s="490">
        <f t="shared" si="7"/>
        <v>2440</v>
      </c>
      <c r="G59" s="490">
        <f t="shared" si="7"/>
        <v>871</v>
      </c>
      <c r="H59" s="1057"/>
      <c r="I59" s="1057"/>
      <c r="J59" s="1057"/>
      <c r="K59" s="1057"/>
      <c r="L59" s="1057"/>
      <c r="M59" s="1057"/>
      <c r="N59" s="1057"/>
      <c r="O59" s="1057"/>
      <c r="P59" s="1057"/>
      <c r="Q59" s="1057"/>
      <c r="R59" s="1057"/>
      <c r="S59" s="1057"/>
      <c r="T59" s="1057"/>
      <c r="U59" s="1057"/>
      <c r="V59" s="1057"/>
      <c r="W59" s="1057"/>
      <c r="X59" s="1057"/>
      <c r="Y59" s="1057"/>
      <c r="Z59" s="1057"/>
      <c r="AA59" s="547"/>
      <c r="AB59" s="547"/>
      <c r="AC59" s="547"/>
      <c r="AD59" s="547"/>
      <c r="AE59" s="547"/>
      <c r="AF59" s="547"/>
      <c r="AG59" s="547"/>
      <c r="AH59" s="547"/>
      <c r="AI59" s="547"/>
      <c r="AJ59" s="547"/>
      <c r="AK59" s="547"/>
      <c r="AL59" s="547"/>
      <c r="AM59" s="547"/>
      <c r="AN59" s="547"/>
      <c r="AO59" s="547"/>
      <c r="AP59" s="547"/>
      <c r="AQ59" s="547"/>
      <c r="AR59" s="547"/>
      <c r="AS59" s="547"/>
      <c r="AT59" s="547"/>
      <c r="AU59" s="547"/>
      <c r="AV59" s="547"/>
      <c r="AW59" s="547"/>
      <c r="AX59" s="547"/>
      <c r="AY59" s="547"/>
      <c r="AZ59" s="547"/>
      <c r="BA59" s="547"/>
      <c r="BB59" s="547"/>
      <c r="BC59" s="547"/>
      <c r="BD59" s="547"/>
      <c r="BE59" s="547"/>
      <c r="BF59" s="547"/>
      <c r="BG59" s="547"/>
      <c r="BH59" s="547"/>
      <c r="BI59" s="547"/>
      <c r="BJ59" s="547"/>
      <c r="BK59" s="547"/>
      <c r="BL59" s="547"/>
      <c r="BM59" s="547"/>
      <c r="BN59" s="547"/>
      <c r="BO59" s="547"/>
      <c r="BP59" s="547"/>
      <c r="BQ59" s="547"/>
      <c r="BR59" s="547"/>
      <c r="BS59" s="547"/>
      <c r="BT59" s="547"/>
      <c r="BU59" s="547"/>
      <c r="BV59" s="547"/>
      <c r="BW59" s="547"/>
      <c r="BX59" s="547"/>
      <c r="BY59" s="547"/>
      <c r="BZ59" s="547"/>
      <c r="CA59" s="547"/>
      <c r="CB59" s="547"/>
      <c r="CC59" s="547"/>
      <c r="CD59" s="547"/>
      <c r="CE59" s="547"/>
      <c r="CF59" s="547"/>
      <c r="CG59" s="547"/>
      <c r="CH59" s="547"/>
      <c r="CI59" s="547"/>
      <c r="CJ59" s="547"/>
      <c r="CK59" s="547"/>
      <c r="CL59" s="547"/>
      <c r="CM59" s="547"/>
      <c r="CN59" s="547"/>
      <c r="CO59" s="547"/>
      <c r="CP59" s="547"/>
      <c r="CQ59" s="547"/>
      <c r="CR59" s="547"/>
      <c r="CS59" s="547"/>
      <c r="CT59" s="547"/>
      <c r="CU59" s="547"/>
      <c r="CV59" s="547"/>
      <c r="CW59" s="547"/>
      <c r="CX59" s="547"/>
      <c r="CY59" s="547"/>
      <c r="CZ59" s="547"/>
      <c r="DA59" s="547"/>
      <c r="DB59" s="547"/>
      <c r="DC59" s="547"/>
      <c r="DD59" s="547"/>
      <c r="DE59" s="547"/>
      <c r="DF59" s="547"/>
      <c r="DG59" s="547"/>
      <c r="DH59" s="547"/>
      <c r="DI59" s="547"/>
      <c r="DJ59" s="547"/>
      <c r="DK59" s="547"/>
      <c r="DL59" s="547"/>
      <c r="DM59" s="547"/>
      <c r="DN59" s="547"/>
      <c r="DO59" s="547"/>
      <c r="DP59" s="547"/>
      <c r="DQ59" s="547"/>
      <c r="DR59" s="547"/>
      <c r="DS59" s="547"/>
      <c r="DT59" s="547"/>
      <c r="DU59" s="547"/>
      <c r="DV59" s="547"/>
      <c r="DW59" s="547"/>
      <c r="DX59" s="547"/>
      <c r="DY59" s="547"/>
      <c r="DZ59" s="547"/>
      <c r="EA59" s="547"/>
      <c r="EB59" s="547"/>
      <c r="EC59" s="547"/>
      <c r="ED59" s="547"/>
      <c r="EE59" s="547"/>
      <c r="EF59" s="547"/>
      <c r="EG59" s="547"/>
      <c r="EH59" s="547"/>
      <c r="EI59" s="547"/>
      <c r="EJ59" s="547"/>
      <c r="EK59" s="547"/>
      <c r="EL59" s="547"/>
      <c r="EM59" s="547"/>
      <c r="EN59" s="547"/>
      <c r="EO59" s="547"/>
      <c r="EP59" s="547"/>
      <c r="EQ59" s="547"/>
      <c r="ER59" s="547"/>
      <c r="ES59" s="547"/>
      <c r="ET59" s="547"/>
      <c r="EU59" s="547"/>
      <c r="EV59" s="547"/>
      <c r="EW59" s="547"/>
      <c r="EX59" s="547"/>
      <c r="EY59" s="547"/>
      <c r="EZ59" s="547"/>
      <c r="FA59" s="547"/>
      <c r="FB59" s="547"/>
      <c r="FC59" s="547"/>
      <c r="FD59" s="547"/>
      <c r="FE59" s="547"/>
      <c r="FF59" s="547"/>
      <c r="FG59" s="547"/>
      <c r="FH59" s="547"/>
      <c r="FI59" s="547"/>
      <c r="FJ59" s="547"/>
      <c r="FK59" s="547"/>
      <c r="FL59" s="547"/>
      <c r="FM59" s="547"/>
      <c r="FN59" s="547"/>
      <c r="FO59" s="547"/>
      <c r="FP59" s="547"/>
      <c r="FQ59" s="547"/>
      <c r="FR59" s="547"/>
      <c r="FS59" s="547"/>
      <c r="FT59" s="547"/>
      <c r="FU59" s="547"/>
      <c r="FV59" s="547"/>
      <c r="FW59" s="547"/>
      <c r="FX59" s="547"/>
      <c r="FY59" s="547"/>
      <c r="FZ59" s="547"/>
      <c r="GA59" s="547"/>
      <c r="GB59" s="547"/>
      <c r="GC59" s="547"/>
      <c r="GD59" s="547"/>
      <c r="GE59" s="547"/>
      <c r="GF59" s="547"/>
      <c r="GG59" s="547"/>
      <c r="GH59" s="547"/>
      <c r="GI59" s="547"/>
      <c r="GJ59" s="547"/>
      <c r="GK59" s="547"/>
      <c r="GL59" s="547"/>
      <c r="GM59" s="547"/>
      <c r="GN59" s="547"/>
      <c r="GO59" s="547"/>
      <c r="GP59" s="547"/>
      <c r="GQ59" s="547"/>
      <c r="GR59" s="547"/>
      <c r="GS59" s="547"/>
      <c r="GT59" s="547"/>
      <c r="GU59" s="547"/>
      <c r="GV59" s="547"/>
      <c r="GW59" s="547"/>
      <c r="GX59" s="547"/>
      <c r="GY59" s="547"/>
      <c r="GZ59" s="547"/>
      <c r="HA59" s="547"/>
      <c r="HB59" s="547"/>
      <c r="HC59" s="547"/>
      <c r="HD59" s="547"/>
      <c r="HE59" s="547"/>
      <c r="HF59" s="547"/>
      <c r="HG59" s="547"/>
      <c r="HH59" s="547"/>
      <c r="HI59" s="547"/>
      <c r="HJ59" s="547"/>
      <c r="HK59" s="547"/>
      <c r="HL59" s="547"/>
      <c r="HM59" s="547"/>
      <c r="HN59" s="547"/>
      <c r="HO59" s="547"/>
      <c r="HP59" s="547"/>
      <c r="HQ59" s="547"/>
      <c r="HR59" s="547"/>
      <c r="HS59" s="547"/>
      <c r="HT59" s="547"/>
      <c r="HU59" s="547"/>
      <c r="HV59" s="547"/>
      <c r="HW59" s="547"/>
      <c r="HX59" s="547"/>
      <c r="HY59" s="547"/>
      <c r="HZ59" s="547"/>
      <c r="IA59" s="547"/>
      <c r="IB59" s="547"/>
      <c r="IC59" s="547"/>
      <c r="ID59" s="547"/>
      <c r="IE59" s="547"/>
      <c r="IF59" s="547"/>
      <c r="IG59" s="547"/>
      <c r="IH59" s="547"/>
      <c r="II59" s="547"/>
      <c r="IJ59" s="547"/>
      <c r="IK59" s="547"/>
      <c r="IL59" s="547"/>
      <c r="IM59" s="547"/>
      <c r="IN59" s="547"/>
      <c r="IO59" s="547"/>
      <c r="IP59" s="547"/>
      <c r="IQ59" s="547"/>
      <c r="IR59" s="547"/>
      <c r="IS59" s="547"/>
      <c r="IT59" s="547"/>
      <c r="IU59" s="547"/>
      <c r="IV59" s="547"/>
    </row>
    <row r="60" spans="1:256" s="208" customFormat="1" ht="16.5" customHeight="1" x14ac:dyDescent="0.2">
      <c r="A60" s="23" t="s">
        <v>80</v>
      </c>
      <c r="B60" s="207"/>
      <c r="C60" s="193"/>
      <c r="D60" s="193"/>
      <c r="E60" s="193"/>
      <c r="F60" s="193"/>
      <c r="G60" s="193"/>
      <c r="H60" s="677"/>
      <c r="I60" s="677"/>
      <c r="J60" s="677"/>
      <c r="K60" s="677"/>
      <c r="L60" s="677"/>
      <c r="M60" s="677"/>
      <c r="N60" s="677"/>
      <c r="O60" s="677"/>
      <c r="P60" s="677"/>
      <c r="Q60" s="677"/>
      <c r="R60" s="677"/>
      <c r="S60" s="677"/>
      <c r="T60" s="677"/>
      <c r="U60" s="677"/>
      <c r="V60" s="677"/>
      <c r="W60" s="677"/>
      <c r="X60" s="677"/>
      <c r="Y60" s="677"/>
      <c r="Z60" s="677"/>
      <c r="AA60" s="193"/>
      <c r="AB60" s="193"/>
      <c r="AC60" s="193"/>
      <c r="AD60" s="193"/>
      <c r="AE60" s="193"/>
      <c r="AF60" s="193"/>
      <c r="AG60" s="193"/>
      <c r="AH60" s="193"/>
      <c r="AI60" s="193"/>
      <c r="AJ60" s="193"/>
      <c r="AK60" s="193"/>
      <c r="AL60" s="193"/>
      <c r="AM60" s="193"/>
      <c r="AN60" s="193"/>
      <c r="AO60" s="193"/>
      <c r="AP60" s="193"/>
      <c r="AQ60" s="193"/>
      <c r="AR60" s="193"/>
      <c r="AS60" s="193"/>
      <c r="AT60" s="193"/>
      <c r="AU60" s="193"/>
      <c r="AV60" s="193"/>
      <c r="AW60" s="193"/>
      <c r="AX60" s="193"/>
      <c r="AY60" s="193"/>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c r="BV60" s="193"/>
      <c r="BW60" s="193"/>
      <c r="BX60" s="193"/>
      <c r="BY60" s="193"/>
      <c r="BZ60" s="193"/>
      <c r="CA60" s="193"/>
      <c r="CB60" s="193"/>
      <c r="CC60" s="193"/>
      <c r="CD60" s="193"/>
      <c r="CE60" s="193"/>
      <c r="CF60" s="193"/>
      <c r="CG60" s="193"/>
      <c r="CH60" s="193"/>
      <c r="CI60" s="193"/>
      <c r="CJ60" s="193"/>
      <c r="CK60" s="193"/>
      <c r="CL60" s="193"/>
      <c r="CM60" s="193"/>
      <c r="CN60" s="193"/>
      <c r="CO60" s="193"/>
      <c r="CP60" s="193"/>
      <c r="CQ60" s="193"/>
      <c r="CR60" s="193"/>
      <c r="CS60" s="193"/>
      <c r="CT60" s="193"/>
      <c r="CU60" s="193"/>
      <c r="CV60" s="193"/>
      <c r="CW60" s="193"/>
      <c r="CX60" s="193"/>
      <c r="CY60" s="193"/>
      <c r="CZ60" s="193"/>
      <c r="DA60" s="193"/>
      <c r="DB60" s="193"/>
      <c r="DC60" s="193"/>
      <c r="DD60" s="193"/>
      <c r="DE60" s="193"/>
      <c r="DF60" s="193"/>
      <c r="DG60" s="193"/>
      <c r="DH60" s="193"/>
      <c r="DI60" s="193"/>
      <c r="DJ60" s="193"/>
      <c r="DK60" s="193"/>
      <c r="DL60" s="193"/>
      <c r="DM60" s="193"/>
      <c r="DN60" s="193"/>
      <c r="DO60" s="193"/>
      <c r="DP60" s="193"/>
      <c r="DQ60" s="193"/>
      <c r="DR60" s="193"/>
      <c r="DS60" s="193"/>
      <c r="DT60" s="193"/>
      <c r="DU60" s="193"/>
      <c r="DV60" s="193"/>
      <c r="DW60" s="193"/>
      <c r="DX60" s="193"/>
      <c r="DY60" s="193"/>
      <c r="DZ60" s="193"/>
      <c r="EA60" s="193"/>
      <c r="EB60" s="193"/>
      <c r="EC60" s="193"/>
      <c r="ED60" s="193"/>
      <c r="EE60" s="193"/>
      <c r="EF60" s="193"/>
      <c r="EG60" s="193"/>
      <c r="EH60" s="193"/>
      <c r="EI60" s="193"/>
      <c r="EJ60" s="193"/>
      <c r="EK60" s="193"/>
      <c r="EL60" s="193"/>
      <c r="EM60" s="193"/>
      <c r="EN60" s="193"/>
      <c r="EO60" s="193"/>
      <c r="EP60" s="193"/>
      <c r="EQ60" s="193"/>
      <c r="ER60" s="193"/>
      <c r="ES60" s="193"/>
      <c r="ET60" s="193"/>
      <c r="EU60" s="193"/>
      <c r="EV60" s="193"/>
      <c r="EW60" s="193"/>
      <c r="EX60" s="193"/>
      <c r="EY60" s="193"/>
      <c r="EZ60" s="193"/>
      <c r="FA60" s="193"/>
      <c r="FB60" s="193"/>
      <c r="FC60" s="193"/>
      <c r="FD60" s="193"/>
      <c r="FE60" s="193"/>
      <c r="FF60" s="193"/>
      <c r="FG60" s="193"/>
      <c r="FH60" s="193"/>
      <c r="FI60" s="193"/>
      <c r="FJ60" s="193"/>
      <c r="FK60" s="193"/>
      <c r="FL60" s="193"/>
      <c r="FM60" s="193"/>
      <c r="FN60" s="193"/>
      <c r="FO60" s="193"/>
      <c r="FP60" s="193"/>
      <c r="FQ60" s="193"/>
      <c r="FR60" s="193"/>
      <c r="FS60" s="193"/>
      <c r="FT60" s="193"/>
      <c r="FU60" s="193"/>
      <c r="FV60" s="193"/>
      <c r="FW60" s="193"/>
      <c r="FX60" s="193"/>
      <c r="FY60" s="193"/>
      <c r="FZ60" s="193"/>
      <c r="GA60" s="193"/>
      <c r="GB60" s="193"/>
      <c r="GC60" s="193"/>
      <c r="GD60" s="193"/>
      <c r="GE60" s="193"/>
      <c r="GF60" s="193"/>
      <c r="GG60" s="193"/>
      <c r="GH60" s="193"/>
      <c r="GI60" s="193"/>
      <c r="GJ60" s="193"/>
      <c r="GK60" s="193"/>
      <c r="GL60" s="193"/>
      <c r="GM60" s="193"/>
      <c r="GN60" s="193"/>
      <c r="GO60" s="193"/>
      <c r="GP60" s="193"/>
      <c r="GQ60" s="193"/>
      <c r="GR60" s="193"/>
      <c r="GS60" s="193"/>
      <c r="GT60" s="193"/>
      <c r="GU60" s="193"/>
      <c r="GV60" s="193"/>
      <c r="GW60" s="193"/>
      <c r="GX60" s="193"/>
      <c r="GY60" s="193"/>
      <c r="GZ60" s="193"/>
      <c r="HA60" s="193"/>
      <c r="HB60" s="193"/>
      <c r="HC60" s="193"/>
      <c r="HD60" s="193"/>
      <c r="HE60" s="193"/>
      <c r="HF60" s="193"/>
      <c r="HG60" s="193"/>
      <c r="HH60" s="193"/>
      <c r="HI60" s="193"/>
      <c r="HJ60" s="193"/>
      <c r="HK60" s="193"/>
      <c r="HL60" s="193"/>
      <c r="HM60" s="193"/>
      <c r="HN60" s="193"/>
      <c r="HO60" s="193"/>
      <c r="HP60" s="193"/>
      <c r="HQ60" s="193"/>
      <c r="HR60" s="193"/>
      <c r="HS60" s="193"/>
      <c r="HT60" s="193"/>
      <c r="HU60" s="193"/>
      <c r="HV60" s="193"/>
      <c r="HW60" s="193"/>
      <c r="HX60" s="193"/>
      <c r="HY60" s="193"/>
      <c r="HZ60" s="193"/>
      <c r="IA60" s="193"/>
      <c r="IB60" s="193"/>
      <c r="IC60" s="193"/>
      <c r="ID60" s="193"/>
      <c r="IE60" s="193"/>
      <c r="IF60" s="193"/>
      <c r="IG60" s="193"/>
      <c r="IH60" s="193"/>
      <c r="II60" s="193"/>
      <c r="IJ60" s="193"/>
      <c r="IK60" s="193"/>
      <c r="IL60" s="193"/>
      <c r="IM60" s="193"/>
      <c r="IN60" s="193"/>
      <c r="IO60" s="193"/>
      <c r="IP60" s="193"/>
      <c r="IQ60" s="193"/>
      <c r="IR60" s="193"/>
      <c r="IS60" s="193"/>
      <c r="IT60" s="193"/>
      <c r="IU60" s="193"/>
      <c r="IV60" s="193"/>
    </row>
    <row r="61" spans="1:256" s="224" customFormat="1" ht="16.5" customHeight="1" x14ac:dyDescent="0.2">
      <c r="A61" s="32" t="str">
        <f>'Common-size FS'!A56</f>
        <v>Common stock (par or stated value)</v>
      </c>
      <c r="B61" s="32">
        <f>'Common-size FS'!B56</f>
        <v>1168</v>
      </c>
      <c r="C61" s="32">
        <f>'Common-size FS'!C56</f>
        <v>1484</v>
      </c>
      <c r="D61" s="32">
        <f>'Common-size FS'!D56</f>
        <v>1645</v>
      </c>
      <c r="E61" s="32">
        <f>'Common-size FS'!E56</f>
        <v>1827</v>
      </c>
      <c r="F61" s="32">
        <f>'Common-size FS'!F56</f>
        <v>2338</v>
      </c>
      <c r="G61" s="32">
        <f>'Common-size FS'!G56</f>
        <v>2539</v>
      </c>
      <c r="H61" s="718"/>
      <c r="I61" s="718"/>
      <c r="J61" s="718"/>
      <c r="K61" s="718"/>
      <c r="L61" s="718"/>
      <c r="M61" s="718"/>
      <c r="N61" s="718"/>
      <c r="O61" s="718"/>
      <c r="P61" s="718"/>
      <c r="Q61" s="718"/>
      <c r="R61" s="718"/>
      <c r="S61" s="718"/>
      <c r="T61" s="718"/>
      <c r="U61" s="718"/>
      <c r="V61" s="718"/>
      <c r="W61" s="718"/>
      <c r="X61" s="718"/>
      <c r="Y61" s="718"/>
      <c r="Z61" s="718"/>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row>
    <row r="62" spans="1:256" s="224" customFormat="1" ht="16.5" customHeight="1" x14ac:dyDescent="0.2">
      <c r="A62" s="32" t="str">
        <f>'Common-size FS'!A57</f>
        <v>Additional paid-in capital (APIC)</v>
      </c>
      <c r="B62" s="32">
        <f>'Common-size FS'!B57</f>
        <v>0</v>
      </c>
      <c r="C62" s="32">
        <f>'Common-size FS'!C57</f>
        <v>0</v>
      </c>
      <c r="D62" s="32">
        <f>'Common-size FS'!D57</f>
        <v>0</v>
      </c>
      <c r="E62" s="32">
        <f>'Common-size FS'!E57</f>
        <v>0</v>
      </c>
      <c r="F62" s="32">
        <f>'Common-size FS'!F57</f>
        <v>0</v>
      </c>
      <c r="G62" s="32">
        <f>'Common-size FS'!G57</f>
        <v>0</v>
      </c>
      <c r="H62" s="718"/>
      <c r="I62" s="718"/>
      <c r="J62" s="718"/>
      <c r="K62" s="718"/>
      <c r="L62" s="718"/>
      <c r="M62" s="718"/>
      <c r="N62" s="718"/>
      <c r="O62" s="718"/>
      <c r="P62" s="718"/>
      <c r="Q62" s="718"/>
      <c r="R62" s="718"/>
      <c r="S62" s="718"/>
      <c r="T62" s="718"/>
      <c r="U62" s="718"/>
      <c r="V62" s="718"/>
      <c r="W62" s="718"/>
      <c r="X62" s="718"/>
      <c r="Y62" s="718"/>
      <c r="Z62" s="718"/>
      <c r="AA62" s="96"/>
      <c r="AB62" s="96"/>
      <c r="AC62" s="96"/>
      <c r="AD62" s="96"/>
      <c r="AE62" s="96"/>
      <c r="AF62" s="96"/>
      <c r="AG62" s="96"/>
      <c r="AH62" s="96"/>
      <c r="AI62" s="96"/>
      <c r="AJ62" s="96"/>
      <c r="AK62" s="96"/>
      <c r="AL62" s="96"/>
      <c r="AM62" s="96"/>
      <c r="AN62" s="96"/>
      <c r="AO62" s="96"/>
      <c r="AP62" s="96"/>
      <c r="AQ62" s="96"/>
      <c r="AR62" s="96"/>
      <c r="AS62" s="96"/>
      <c r="AT62" s="96"/>
      <c r="AU62" s="96"/>
      <c r="AV62" s="96"/>
      <c r="AW62" s="96"/>
      <c r="AX62" s="96"/>
      <c r="AY62" s="96"/>
      <c r="AZ62" s="96"/>
      <c r="BA62" s="96"/>
      <c r="BB62" s="96"/>
      <c r="BC62" s="96"/>
      <c r="BD62" s="96"/>
      <c r="BE62" s="96"/>
      <c r="BF62" s="96"/>
      <c r="BG62" s="96"/>
      <c r="BH62" s="96"/>
      <c r="BI62" s="96"/>
      <c r="BJ62" s="96"/>
      <c r="BK62" s="96"/>
      <c r="BL62" s="96"/>
      <c r="BM62" s="96"/>
      <c r="BN62" s="96"/>
      <c r="BO62" s="96"/>
      <c r="BP62" s="96"/>
      <c r="BQ62" s="96"/>
      <c r="BR62" s="96"/>
      <c r="BS62" s="96"/>
      <c r="BT62" s="96"/>
      <c r="BU62" s="96"/>
      <c r="BV62" s="96"/>
      <c r="BW62" s="96"/>
      <c r="BX62" s="96"/>
      <c r="BY62" s="96"/>
      <c r="BZ62" s="96"/>
      <c r="CA62" s="96"/>
      <c r="CB62" s="96"/>
      <c r="CC62" s="96"/>
      <c r="CD62" s="96"/>
      <c r="CE62" s="96"/>
      <c r="CF62" s="96"/>
      <c r="CG62" s="96"/>
      <c r="CH62" s="96"/>
      <c r="CI62" s="96"/>
      <c r="CJ62" s="96"/>
      <c r="CK62" s="96"/>
      <c r="CL62" s="96"/>
      <c r="CM62" s="96"/>
      <c r="CN62" s="96"/>
      <c r="CO62" s="96"/>
      <c r="CP62" s="96"/>
      <c r="CQ62" s="96"/>
      <c r="CR62" s="96"/>
      <c r="CS62" s="96"/>
      <c r="CT62" s="96"/>
      <c r="CU62" s="96"/>
      <c r="CV62" s="96"/>
      <c r="CW62" s="96"/>
      <c r="CX62" s="96"/>
      <c r="CY62" s="96"/>
      <c r="CZ62" s="96"/>
      <c r="DA62" s="96"/>
      <c r="DB62" s="96"/>
      <c r="DC62" s="96"/>
      <c r="DD62" s="96"/>
      <c r="DE62" s="96"/>
      <c r="DF62" s="96"/>
      <c r="DG62" s="96"/>
      <c r="DH62" s="96"/>
      <c r="DI62" s="96"/>
      <c r="DJ62" s="96"/>
      <c r="DK62" s="96"/>
      <c r="DL62" s="96"/>
      <c r="DM62" s="96"/>
      <c r="DN62" s="96"/>
      <c r="DO62" s="96"/>
      <c r="DP62" s="96"/>
      <c r="DQ62" s="96"/>
      <c r="DR62" s="96"/>
      <c r="DS62" s="96"/>
      <c r="DT62" s="96"/>
      <c r="DU62" s="96"/>
      <c r="DV62" s="96"/>
      <c r="DW62" s="96"/>
      <c r="DX62" s="96"/>
      <c r="DY62" s="96"/>
      <c r="DZ62" s="96"/>
      <c r="EA62" s="96"/>
      <c r="EB62" s="96"/>
      <c r="EC62" s="96"/>
      <c r="ED62" s="96"/>
      <c r="EE62" s="96"/>
      <c r="EF62" s="96"/>
      <c r="EG62" s="96"/>
      <c r="EH62" s="96"/>
      <c r="EI62" s="96"/>
      <c r="EJ62" s="96"/>
      <c r="EK62" s="96"/>
      <c r="EL62" s="96"/>
      <c r="EM62" s="96"/>
      <c r="EN62" s="96"/>
      <c r="EO62" s="96"/>
      <c r="EP62" s="96"/>
      <c r="EQ62" s="96"/>
      <c r="ER62" s="96"/>
      <c r="ES62" s="96"/>
      <c r="ET62" s="96"/>
      <c r="EU62" s="96"/>
      <c r="EV62" s="96"/>
      <c r="EW62" s="96"/>
      <c r="EX62" s="96"/>
      <c r="EY62" s="96"/>
      <c r="EZ62" s="96"/>
      <c r="FA62" s="96"/>
      <c r="FB62" s="96"/>
      <c r="FC62" s="96"/>
      <c r="FD62" s="96"/>
      <c r="FE62" s="96"/>
      <c r="FF62" s="96"/>
      <c r="FG62" s="96"/>
      <c r="FH62" s="96"/>
      <c r="FI62" s="96"/>
      <c r="FJ62" s="96"/>
      <c r="FK62" s="96"/>
      <c r="FL62" s="96"/>
      <c r="FM62" s="96"/>
      <c r="FN62" s="96"/>
      <c r="FO62" s="96"/>
      <c r="FP62" s="96"/>
      <c r="FQ62" s="96"/>
      <c r="FR62" s="96"/>
      <c r="FS62" s="96"/>
      <c r="FT62" s="96"/>
      <c r="FU62" s="96"/>
      <c r="FV62" s="96"/>
      <c r="FW62" s="96"/>
      <c r="FX62" s="96"/>
      <c r="FY62" s="96"/>
      <c r="FZ62" s="96"/>
      <c r="GA62" s="96"/>
      <c r="GB62" s="96"/>
      <c r="GC62" s="96"/>
      <c r="GD62" s="96"/>
      <c r="GE62" s="96"/>
      <c r="GF62" s="96"/>
      <c r="GG62" s="96"/>
      <c r="GH62" s="96"/>
      <c r="GI62" s="96"/>
      <c r="GJ62" s="96"/>
      <c r="GK62" s="96"/>
      <c r="GL62" s="96"/>
      <c r="GM62" s="96"/>
      <c r="GN62" s="96"/>
      <c r="GO62" s="96"/>
      <c r="GP62" s="96"/>
      <c r="GQ62" s="96"/>
      <c r="GR62" s="96"/>
      <c r="GS62" s="96"/>
      <c r="GT62" s="96"/>
      <c r="GU62" s="96"/>
      <c r="GV62" s="96"/>
      <c r="GW62" s="96"/>
      <c r="GX62" s="96"/>
      <c r="GY62" s="96"/>
      <c r="GZ62" s="96"/>
      <c r="HA62" s="96"/>
      <c r="HB62" s="96"/>
      <c r="HC62" s="96"/>
      <c r="HD62" s="96"/>
      <c r="HE62" s="96"/>
      <c r="HF62" s="96"/>
      <c r="HG62" s="96"/>
      <c r="HH62" s="96"/>
      <c r="HI62" s="96"/>
      <c r="HJ62" s="96"/>
      <c r="HK62" s="96"/>
      <c r="HL62" s="96"/>
      <c r="HM62" s="96"/>
      <c r="HN62" s="96"/>
      <c r="HO62" s="96"/>
      <c r="HP62" s="96"/>
      <c r="HQ62" s="96"/>
      <c r="HR62" s="96"/>
      <c r="HS62" s="96"/>
      <c r="HT62" s="96"/>
      <c r="HU62" s="96"/>
      <c r="HV62" s="96"/>
      <c r="HW62" s="96"/>
      <c r="HX62" s="96"/>
      <c r="HY62" s="96"/>
      <c r="HZ62" s="96"/>
      <c r="IA62" s="96"/>
      <c r="IB62" s="96"/>
      <c r="IC62" s="96"/>
      <c r="ID62" s="96"/>
      <c r="IE62" s="96"/>
      <c r="IF62" s="96"/>
      <c r="IG62" s="96"/>
      <c r="IH62" s="96"/>
      <c r="II62" s="96"/>
      <c r="IJ62" s="96"/>
      <c r="IK62" s="96"/>
      <c r="IL62" s="96"/>
      <c r="IM62" s="96"/>
      <c r="IN62" s="96"/>
      <c r="IO62" s="96"/>
      <c r="IP62" s="96"/>
      <c r="IQ62" s="96"/>
      <c r="IR62" s="96"/>
      <c r="IS62" s="96"/>
      <c r="IT62" s="96"/>
      <c r="IU62" s="96"/>
      <c r="IV62" s="96"/>
    </row>
    <row r="63" spans="1:256" s="224" customFormat="1" ht="16.5" customHeight="1" x14ac:dyDescent="0.2">
      <c r="A63" s="32" t="str">
        <f>'Common-size FS'!A58</f>
        <v>Less: Treasury stock</v>
      </c>
      <c r="B63" s="32">
        <f>'Common-size FS'!B58</f>
        <v>0</v>
      </c>
      <c r="C63" s="32">
        <f>'Common-size FS'!C58</f>
        <v>0</v>
      </c>
      <c r="D63" s="32">
        <f>'Common-size FS'!D58</f>
        <v>0</v>
      </c>
      <c r="E63" s="32">
        <f>'Common-size FS'!E58</f>
        <v>0</v>
      </c>
      <c r="F63" s="32">
        <f>'Common-size FS'!F58</f>
        <v>0</v>
      </c>
      <c r="G63" s="32">
        <f>'Common-size FS'!G58</f>
        <v>0</v>
      </c>
      <c r="H63" s="718"/>
      <c r="I63" s="718"/>
      <c r="J63" s="718"/>
      <c r="K63" s="718"/>
      <c r="L63" s="718"/>
      <c r="M63" s="718"/>
      <c r="N63" s="718"/>
      <c r="O63" s="718"/>
      <c r="P63" s="718"/>
      <c r="Q63" s="718"/>
      <c r="R63" s="718"/>
      <c r="S63" s="718"/>
      <c r="T63" s="718"/>
      <c r="U63" s="718"/>
      <c r="V63" s="718"/>
      <c r="W63" s="718"/>
      <c r="X63" s="718"/>
      <c r="Y63" s="718"/>
      <c r="Z63" s="718"/>
      <c r="AA63" s="96"/>
      <c r="AB63" s="96"/>
      <c r="AC63" s="96"/>
      <c r="AD63" s="96"/>
      <c r="AE63" s="96"/>
      <c r="AF63" s="96"/>
      <c r="AG63" s="96"/>
      <c r="AH63" s="96"/>
      <c r="AI63" s="96"/>
      <c r="AJ63" s="96"/>
      <c r="AK63" s="96"/>
      <c r="AL63" s="96"/>
      <c r="AM63" s="96"/>
      <c r="AN63" s="96"/>
      <c r="AO63" s="96"/>
      <c r="AP63" s="96"/>
      <c r="AQ63" s="96"/>
      <c r="AR63" s="96"/>
      <c r="AS63" s="96"/>
      <c r="AT63" s="96"/>
      <c r="AU63" s="96"/>
      <c r="AV63" s="96"/>
      <c r="AW63" s="96"/>
      <c r="AX63" s="96"/>
      <c r="AY63" s="96"/>
      <c r="AZ63" s="96"/>
      <c r="BA63" s="96"/>
      <c r="BB63" s="96"/>
      <c r="BC63" s="96"/>
      <c r="BD63" s="96"/>
      <c r="BE63" s="96"/>
      <c r="BF63" s="96"/>
      <c r="BG63" s="96"/>
      <c r="BH63" s="96"/>
      <c r="BI63" s="96"/>
      <c r="BJ63" s="96"/>
      <c r="BK63" s="96"/>
      <c r="BL63" s="96"/>
      <c r="BM63" s="96"/>
      <c r="BN63" s="96"/>
      <c r="BO63" s="96"/>
      <c r="BP63" s="96"/>
      <c r="BQ63" s="96"/>
      <c r="BR63" s="96"/>
      <c r="BS63" s="96"/>
      <c r="BT63" s="96"/>
      <c r="BU63" s="96"/>
      <c r="BV63" s="96"/>
      <c r="BW63" s="96"/>
      <c r="BX63" s="96"/>
      <c r="BY63" s="96"/>
      <c r="BZ63" s="96"/>
      <c r="CA63" s="96"/>
      <c r="CB63" s="96"/>
      <c r="CC63" s="96"/>
      <c r="CD63" s="96"/>
      <c r="CE63" s="96"/>
      <c r="CF63" s="96"/>
      <c r="CG63" s="96"/>
      <c r="CH63" s="96"/>
      <c r="CI63" s="96"/>
      <c r="CJ63" s="96"/>
      <c r="CK63" s="96"/>
      <c r="CL63" s="96"/>
      <c r="CM63" s="96"/>
      <c r="CN63" s="96"/>
      <c r="CO63" s="96"/>
      <c r="CP63" s="96"/>
      <c r="CQ63" s="96"/>
      <c r="CR63" s="96"/>
      <c r="CS63" s="96"/>
      <c r="CT63" s="96"/>
      <c r="CU63" s="96"/>
      <c r="CV63" s="96"/>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X63" s="96"/>
      <c r="FY63" s="96"/>
      <c r="FZ63" s="96"/>
      <c r="GA63" s="96"/>
      <c r="GB63" s="96"/>
      <c r="GC63" s="96"/>
      <c r="GD63" s="96"/>
      <c r="GE63" s="96"/>
      <c r="GF63" s="96"/>
      <c r="GG63" s="96"/>
      <c r="GH63" s="96"/>
      <c r="GI63" s="96"/>
      <c r="GJ63" s="96"/>
      <c r="GK63" s="96"/>
      <c r="GL63" s="96"/>
      <c r="GM63" s="96"/>
      <c r="GN63" s="96"/>
      <c r="GO63" s="96"/>
      <c r="GP63" s="96"/>
      <c r="GQ63" s="96"/>
      <c r="GR63" s="96"/>
      <c r="GS63" s="96"/>
      <c r="GT63" s="96"/>
      <c r="GU63" s="96"/>
      <c r="GV63" s="96"/>
      <c r="GW63" s="96"/>
      <c r="GX63" s="96"/>
      <c r="GY63" s="96"/>
      <c r="GZ63" s="96"/>
      <c r="HA63" s="96"/>
      <c r="HB63" s="96"/>
      <c r="HC63" s="96"/>
      <c r="HD63" s="96"/>
      <c r="HE63" s="96"/>
      <c r="HF63" s="96"/>
      <c r="HG63" s="96"/>
      <c r="HH63" s="96"/>
      <c r="HI63" s="96"/>
      <c r="HJ63" s="96"/>
      <c r="HK63" s="96"/>
      <c r="HL63" s="96"/>
      <c r="HM63" s="96"/>
      <c r="HN63" s="96"/>
      <c r="HO63" s="96"/>
      <c r="HP63" s="96"/>
      <c r="HQ63" s="96"/>
      <c r="HR63" s="96"/>
      <c r="HS63" s="96"/>
      <c r="HT63" s="96"/>
      <c r="HU63" s="96"/>
      <c r="HV63" s="96"/>
      <c r="HW63" s="96"/>
      <c r="HX63" s="96"/>
      <c r="HY63" s="96"/>
      <c r="HZ63" s="96"/>
      <c r="IA63" s="96"/>
      <c r="IB63" s="96"/>
      <c r="IC63" s="96"/>
      <c r="ID63" s="96"/>
      <c r="IE63" s="96"/>
      <c r="IF63" s="96"/>
      <c r="IG63" s="96"/>
      <c r="IH63" s="96"/>
      <c r="II63" s="96"/>
      <c r="IJ63" s="96"/>
      <c r="IK63" s="96"/>
      <c r="IL63" s="96"/>
      <c r="IM63" s="96"/>
      <c r="IN63" s="96"/>
      <c r="IO63" s="96"/>
      <c r="IP63" s="96"/>
      <c r="IQ63" s="96"/>
      <c r="IR63" s="96"/>
      <c r="IS63" s="96"/>
      <c r="IT63" s="96"/>
      <c r="IU63" s="96"/>
      <c r="IV63" s="96"/>
    </row>
    <row r="64" spans="1:256" s="224" customFormat="1" ht="16.5" customHeight="1" x14ac:dyDescent="0.2">
      <c r="A64" s="32" t="str">
        <f>'Common-size FS'!A59</f>
        <v>Unearned stock-based compensation</v>
      </c>
      <c r="B64" s="32">
        <f>'Common-size FS'!B59</f>
        <v>0</v>
      </c>
      <c r="C64" s="32">
        <f>'Common-size FS'!C59</f>
        <v>0</v>
      </c>
      <c r="D64" s="32">
        <f>'Common-size FS'!D59</f>
        <v>0</v>
      </c>
      <c r="E64" s="32">
        <f>'Common-size FS'!E59</f>
        <v>0</v>
      </c>
      <c r="F64" s="32">
        <f>'Common-size FS'!F59</f>
        <v>0</v>
      </c>
      <c r="G64" s="32">
        <f>'Common-size FS'!G59</f>
        <v>0</v>
      </c>
      <c r="H64" s="718"/>
      <c r="I64" s="718"/>
      <c r="J64" s="718"/>
      <c r="K64" s="718"/>
      <c r="L64" s="718"/>
      <c r="M64" s="718"/>
      <c r="N64" s="718"/>
      <c r="O64" s="718"/>
      <c r="P64" s="718"/>
      <c r="Q64" s="718"/>
      <c r="R64" s="718"/>
      <c r="S64" s="718"/>
      <c r="T64" s="718"/>
      <c r="U64" s="718"/>
      <c r="V64" s="718"/>
      <c r="W64" s="718"/>
      <c r="X64" s="718"/>
      <c r="Y64" s="718"/>
      <c r="Z64" s="718"/>
      <c r="AA64" s="96"/>
      <c r="AB64" s="96"/>
      <c r="AC64" s="96"/>
      <c r="AD64" s="96"/>
      <c r="AE64" s="96"/>
      <c r="AF64" s="96"/>
      <c r="AG64" s="96"/>
      <c r="AH64" s="96"/>
      <c r="AI64" s="96"/>
      <c r="AJ64" s="96"/>
      <c r="AK64" s="96"/>
      <c r="AL64" s="96"/>
      <c r="AM64" s="96"/>
      <c r="AN64" s="96"/>
      <c r="AO64" s="96"/>
      <c r="AP64" s="96"/>
      <c r="AQ64" s="96"/>
      <c r="AR64" s="96"/>
      <c r="AS64" s="96"/>
      <c r="AT64" s="96"/>
      <c r="AU64" s="96"/>
      <c r="AV64" s="96"/>
      <c r="AW64" s="96"/>
      <c r="AX64" s="96"/>
      <c r="AY64" s="96"/>
      <c r="AZ64" s="96"/>
      <c r="BA64" s="96"/>
      <c r="BB64" s="96"/>
      <c r="BC64" s="96"/>
      <c r="BD64" s="96"/>
      <c r="BE64" s="96"/>
      <c r="BF64" s="96"/>
      <c r="BG64" s="96"/>
      <c r="BH64" s="96"/>
      <c r="BI64" s="96"/>
      <c r="BJ64" s="96"/>
      <c r="BK64" s="96"/>
      <c r="BL64" s="96"/>
      <c r="BM64" s="96"/>
      <c r="BN64" s="96"/>
      <c r="BO64" s="96"/>
      <c r="BP64" s="96"/>
      <c r="BQ64" s="96"/>
      <c r="BR64" s="96"/>
      <c r="BS64" s="96"/>
      <c r="BT64" s="96"/>
      <c r="BU64" s="96"/>
      <c r="BV64" s="96"/>
      <c r="BW64" s="96"/>
      <c r="BX64" s="96"/>
      <c r="BY64" s="96"/>
      <c r="BZ64" s="96"/>
      <c r="CA64" s="96"/>
      <c r="CB64" s="96"/>
      <c r="CC64" s="96"/>
      <c r="CD64" s="96"/>
      <c r="CE64" s="96"/>
      <c r="CF64" s="96"/>
      <c r="CG64" s="96"/>
      <c r="CH64" s="96"/>
      <c r="CI64" s="96"/>
      <c r="CJ64" s="96"/>
      <c r="CK64" s="96"/>
      <c r="CL64" s="96"/>
      <c r="CM64" s="96"/>
      <c r="CN64" s="96"/>
      <c r="CO64" s="96"/>
      <c r="CP64" s="96"/>
      <c r="CQ64" s="96"/>
      <c r="CR64" s="96"/>
      <c r="CS64" s="96"/>
      <c r="CT64" s="96"/>
      <c r="CU64" s="96"/>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X64" s="96"/>
      <c r="FY64" s="96"/>
      <c r="FZ64" s="96"/>
      <c r="GA64" s="96"/>
      <c r="GB64" s="96"/>
      <c r="GC64" s="96"/>
      <c r="GD64" s="96"/>
      <c r="GE64" s="96"/>
      <c r="GF64" s="96"/>
      <c r="GG64" s="96"/>
      <c r="GH64" s="96"/>
      <c r="GI64" s="96"/>
      <c r="GJ64" s="96"/>
      <c r="GK64" s="96"/>
      <c r="GL64" s="96"/>
      <c r="GM64" s="96"/>
      <c r="GN64" s="96"/>
      <c r="GO64" s="96"/>
      <c r="GP64" s="96"/>
      <c r="GQ64" s="96"/>
      <c r="GR64" s="96"/>
      <c r="GS64" s="96"/>
      <c r="GT64" s="96"/>
      <c r="GU64" s="96"/>
      <c r="GV64" s="96"/>
      <c r="GW64" s="96"/>
      <c r="GX64" s="96"/>
      <c r="GY64" s="96"/>
      <c r="GZ64" s="96"/>
      <c r="HA64" s="96"/>
      <c r="HB64" s="96"/>
      <c r="HC64" s="96"/>
      <c r="HD64" s="96"/>
      <c r="HE64" s="96"/>
      <c r="HF64" s="96"/>
      <c r="HG64" s="96"/>
      <c r="HH64" s="96"/>
      <c r="HI64" s="96"/>
      <c r="HJ64" s="96"/>
      <c r="HK64" s="96"/>
      <c r="HL64" s="96"/>
      <c r="HM64" s="96"/>
      <c r="HN64" s="96"/>
      <c r="HO64" s="96"/>
      <c r="HP64" s="96"/>
      <c r="HQ64" s="96"/>
      <c r="HR64" s="96"/>
      <c r="HS64" s="96"/>
      <c r="HT64" s="96"/>
      <c r="HU64" s="96"/>
      <c r="HV64" s="96"/>
      <c r="HW64" s="96"/>
      <c r="HX64" s="96"/>
      <c r="HY64" s="96"/>
      <c r="HZ64" s="96"/>
      <c r="IA64" s="96"/>
      <c r="IB64" s="96"/>
      <c r="IC64" s="96"/>
      <c r="ID64" s="96"/>
      <c r="IE64" s="96"/>
      <c r="IF64" s="96"/>
      <c r="IG64" s="96"/>
      <c r="IH64" s="96"/>
      <c r="II64" s="96"/>
      <c r="IJ64" s="96"/>
      <c r="IK64" s="96"/>
      <c r="IL64" s="96"/>
      <c r="IM64" s="96"/>
      <c r="IN64" s="96"/>
      <c r="IO64" s="96"/>
      <c r="IP64" s="96"/>
      <c r="IQ64" s="96"/>
      <c r="IR64" s="96"/>
      <c r="IS64" s="96"/>
      <c r="IT64" s="96"/>
      <c r="IU64" s="96"/>
      <c r="IV64" s="96"/>
    </row>
    <row r="65" spans="1:256" s="224" customFormat="1" ht="16.5" customHeight="1" x14ac:dyDescent="0.2">
      <c r="A65" s="32" t="str">
        <f>'Common-size FS'!A60</f>
        <v>Retained earnings</v>
      </c>
      <c r="B65" s="32">
        <f>'Common-size FS'!B60</f>
        <v>882</v>
      </c>
      <c r="C65" s="32">
        <f>'Common-size FS'!C60</f>
        <v>517</v>
      </c>
      <c r="D65" s="32">
        <f>'Common-size FS'!D60</f>
        <v>315</v>
      </c>
      <c r="E65" s="32">
        <f>'Common-size FS'!E60</f>
        <v>292</v>
      </c>
      <c r="F65" s="32">
        <f>'Common-size FS'!F60</f>
        <v>166</v>
      </c>
      <c r="G65" s="32">
        <f>'Common-size FS'!G60</f>
        <v>-1610</v>
      </c>
      <c r="H65" s="718"/>
      <c r="I65" s="718"/>
      <c r="J65" s="718"/>
      <c r="K65" s="718"/>
      <c r="L65" s="718"/>
      <c r="M65" s="718"/>
      <c r="N65" s="718"/>
      <c r="O65" s="718"/>
      <c r="P65" s="718"/>
      <c r="Q65" s="718"/>
      <c r="R65" s="718"/>
      <c r="S65" s="718"/>
      <c r="T65" s="718"/>
      <c r="U65" s="718"/>
      <c r="V65" s="718"/>
      <c r="W65" s="718"/>
      <c r="X65" s="718"/>
      <c r="Y65" s="718"/>
      <c r="Z65" s="718"/>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96"/>
      <c r="BF65" s="96"/>
      <c r="BG65" s="96"/>
      <c r="BH65" s="96"/>
      <c r="BI65" s="96"/>
      <c r="BJ65" s="96"/>
      <c r="BK65" s="96"/>
      <c r="BL65" s="96"/>
      <c r="BM65" s="96"/>
      <c r="BN65" s="96"/>
      <c r="BO65" s="96"/>
      <c r="BP65" s="96"/>
      <c r="BQ65" s="96"/>
      <c r="BR65" s="96"/>
      <c r="BS65" s="96"/>
      <c r="BT65" s="96"/>
      <c r="BU65" s="96"/>
      <c r="BV65" s="96"/>
      <c r="BW65" s="96"/>
      <c r="BX65" s="96"/>
      <c r="BY65" s="96"/>
      <c r="BZ65" s="96"/>
      <c r="CA65" s="96"/>
      <c r="CB65" s="96"/>
      <c r="CC65" s="96"/>
      <c r="CD65" s="96"/>
      <c r="CE65" s="96"/>
      <c r="CF65" s="96"/>
      <c r="CG65" s="96"/>
      <c r="CH65" s="96"/>
      <c r="CI65" s="96"/>
      <c r="CJ65" s="96"/>
      <c r="CK65" s="96"/>
      <c r="CL65" s="96"/>
      <c r="CM65" s="96"/>
      <c r="CN65" s="96"/>
      <c r="CO65" s="96"/>
      <c r="CP65" s="96"/>
      <c r="CQ65" s="96"/>
      <c r="CR65" s="96"/>
      <c r="CS65" s="96"/>
      <c r="CT65" s="96"/>
      <c r="CU65" s="96"/>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X65" s="96"/>
      <c r="FY65" s="96"/>
      <c r="FZ65" s="96"/>
      <c r="GA65" s="96"/>
      <c r="GB65" s="96"/>
      <c r="GC65" s="96"/>
      <c r="GD65" s="96"/>
      <c r="GE65" s="96"/>
      <c r="GF65" s="96"/>
      <c r="GG65" s="96"/>
      <c r="GH65" s="96"/>
      <c r="GI65" s="96"/>
      <c r="GJ65" s="96"/>
      <c r="GK65" s="96"/>
      <c r="GL65" s="96"/>
      <c r="GM65" s="96"/>
      <c r="GN65" s="96"/>
      <c r="GO65" s="96"/>
      <c r="GP65" s="96"/>
      <c r="GQ65" s="96"/>
      <c r="GR65" s="96"/>
      <c r="GS65" s="96"/>
      <c r="GT65" s="96"/>
      <c r="GU65" s="96"/>
      <c r="GV65" s="96"/>
      <c r="GW65" s="96"/>
      <c r="GX65" s="96"/>
      <c r="GY65" s="96"/>
      <c r="GZ65" s="96"/>
      <c r="HA65" s="96"/>
      <c r="HB65" s="96"/>
      <c r="HC65" s="96"/>
      <c r="HD65" s="96"/>
      <c r="HE65" s="96"/>
      <c r="HF65" s="96"/>
      <c r="HG65" s="96"/>
      <c r="HH65" s="96"/>
      <c r="HI65" s="96"/>
      <c r="HJ65" s="96"/>
      <c r="HK65" s="96"/>
      <c r="HL65" s="96"/>
      <c r="HM65" s="96"/>
      <c r="HN65" s="96"/>
      <c r="HO65" s="96"/>
      <c r="HP65" s="96"/>
      <c r="HQ65" s="96"/>
      <c r="HR65" s="96"/>
      <c r="HS65" s="96"/>
      <c r="HT65" s="96"/>
      <c r="HU65" s="96"/>
      <c r="HV65" s="96"/>
      <c r="HW65" s="96"/>
      <c r="HX65" s="96"/>
      <c r="HY65" s="96"/>
      <c r="HZ65" s="96"/>
      <c r="IA65" s="96"/>
      <c r="IB65" s="96"/>
      <c r="IC65" s="96"/>
      <c r="ID65" s="96"/>
      <c r="IE65" s="96"/>
      <c r="IF65" s="96"/>
      <c r="IG65" s="96"/>
      <c r="IH65" s="96"/>
      <c r="II65" s="96"/>
      <c r="IJ65" s="96"/>
      <c r="IK65" s="96"/>
      <c r="IL65" s="96"/>
      <c r="IM65" s="96"/>
      <c r="IN65" s="96"/>
      <c r="IO65" s="96"/>
      <c r="IP65" s="96"/>
      <c r="IQ65" s="96"/>
      <c r="IR65" s="96"/>
      <c r="IS65" s="96"/>
      <c r="IT65" s="96"/>
      <c r="IU65" s="96"/>
      <c r="IV65" s="96"/>
    </row>
    <row r="66" spans="1:256" s="532" customFormat="1" ht="16.5" customHeight="1" x14ac:dyDescent="0.2">
      <c r="A66" s="75" t="str">
        <f>'Common-size FS'!A61</f>
        <v>Noncontrolling interest in consolid subsid</v>
      </c>
      <c r="B66" s="75">
        <f>'Common-size FS'!B61</f>
        <v>0</v>
      </c>
      <c r="C66" s="75">
        <f>'Common-size FS'!C61</f>
        <v>0</v>
      </c>
      <c r="D66" s="75">
        <f>'Common-size FS'!D61</f>
        <v>0</v>
      </c>
      <c r="E66" s="75">
        <f>'Common-size FS'!E61</f>
        <v>0</v>
      </c>
      <c r="F66" s="75">
        <f>'Common-size FS'!F61</f>
        <v>0</v>
      </c>
      <c r="G66" s="75">
        <f>'Common-size FS'!G61</f>
        <v>0</v>
      </c>
      <c r="H66" s="725"/>
      <c r="I66" s="725"/>
      <c r="J66" s="725"/>
      <c r="K66" s="725"/>
      <c r="L66" s="725"/>
      <c r="M66" s="725"/>
      <c r="N66" s="725"/>
      <c r="O66" s="725"/>
      <c r="P66" s="725"/>
      <c r="Q66" s="725"/>
      <c r="R66" s="725"/>
      <c r="S66" s="725"/>
      <c r="T66" s="725"/>
      <c r="U66" s="725"/>
      <c r="V66" s="725"/>
      <c r="W66" s="725"/>
      <c r="X66" s="725"/>
      <c r="Y66" s="725"/>
      <c r="Z66" s="725"/>
      <c r="AA66" s="149"/>
      <c r="AB66" s="149"/>
      <c r="AC66" s="149"/>
      <c r="AD66" s="149"/>
      <c r="AE66" s="149"/>
      <c r="AF66" s="149"/>
      <c r="AG66" s="149"/>
      <c r="AH66" s="149"/>
      <c r="AI66" s="149"/>
      <c r="AJ66" s="149"/>
      <c r="AK66" s="149"/>
      <c r="AL66" s="149"/>
      <c r="AM66" s="149"/>
      <c r="AN66" s="149"/>
      <c r="AO66" s="149"/>
      <c r="AP66" s="149"/>
      <c r="AQ66" s="149"/>
      <c r="AR66" s="149"/>
      <c r="AS66" s="149"/>
      <c r="AT66" s="149"/>
      <c r="AU66" s="149"/>
      <c r="AV66" s="149"/>
      <c r="AW66" s="149"/>
      <c r="AX66" s="149"/>
      <c r="AY66" s="149"/>
      <c r="AZ66" s="149"/>
      <c r="BA66" s="149"/>
      <c r="BB66" s="149"/>
      <c r="BC66" s="149"/>
      <c r="BD66" s="149"/>
      <c r="BE66" s="149"/>
      <c r="BF66" s="149"/>
      <c r="BG66" s="149"/>
      <c r="BH66" s="149"/>
      <c r="BI66" s="149"/>
      <c r="BJ66" s="149"/>
      <c r="BK66" s="149"/>
      <c r="BL66" s="149"/>
      <c r="BM66" s="149"/>
      <c r="BN66" s="149"/>
      <c r="BO66" s="149"/>
      <c r="BP66" s="149"/>
      <c r="BQ66" s="149"/>
      <c r="BR66" s="149"/>
      <c r="BS66" s="149"/>
      <c r="BT66" s="149"/>
      <c r="BU66" s="149"/>
      <c r="BV66" s="149"/>
      <c r="BW66" s="149"/>
      <c r="BX66" s="149"/>
      <c r="BY66" s="149"/>
      <c r="BZ66" s="149"/>
      <c r="CA66" s="149"/>
      <c r="CB66" s="149"/>
      <c r="CC66" s="149"/>
      <c r="CD66" s="149"/>
      <c r="CE66" s="149"/>
      <c r="CF66" s="149"/>
      <c r="CG66" s="149"/>
      <c r="CH66" s="149"/>
      <c r="CI66" s="149"/>
      <c r="CJ66" s="149"/>
      <c r="CK66" s="149"/>
      <c r="CL66" s="149"/>
      <c r="CM66" s="149"/>
      <c r="CN66" s="149"/>
      <c r="CO66" s="149"/>
      <c r="CP66" s="149"/>
      <c r="CQ66" s="149"/>
      <c r="CR66" s="149"/>
      <c r="CS66" s="149"/>
      <c r="CT66" s="149"/>
      <c r="CU66" s="149"/>
      <c r="CV66" s="149"/>
      <c r="CW66" s="149"/>
      <c r="CX66" s="149"/>
      <c r="CY66" s="149"/>
      <c r="CZ66" s="149"/>
      <c r="DA66" s="149"/>
      <c r="DB66" s="149"/>
      <c r="DC66" s="149"/>
      <c r="DD66" s="149"/>
      <c r="DE66" s="149"/>
      <c r="DF66" s="149"/>
      <c r="DG66" s="149"/>
      <c r="DH66" s="149"/>
      <c r="DI66" s="149"/>
      <c r="DJ66" s="149"/>
      <c r="DK66" s="149"/>
      <c r="DL66" s="149"/>
      <c r="DM66" s="149"/>
      <c r="DN66" s="149"/>
      <c r="DO66" s="149"/>
      <c r="DP66" s="149"/>
      <c r="DQ66" s="149"/>
      <c r="DR66" s="149"/>
      <c r="DS66" s="149"/>
      <c r="DT66" s="149"/>
      <c r="DU66" s="149"/>
      <c r="DV66" s="149"/>
      <c r="DW66" s="149"/>
      <c r="DX66" s="149"/>
      <c r="DY66" s="149"/>
      <c r="DZ66" s="149"/>
      <c r="EA66" s="149"/>
      <c r="EB66" s="149"/>
      <c r="EC66" s="149"/>
      <c r="ED66" s="149"/>
      <c r="EE66" s="149"/>
      <c r="EF66" s="149"/>
      <c r="EG66" s="149"/>
      <c r="EH66" s="149"/>
      <c r="EI66" s="149"/>
      <c r="EJ66" s="149"/>
      <c r="EK66" s="149"/>
      <c r="EL66" s="149"/>
      <c r="EM66" s="149"/>
      <c r="EN66" s="149"/>
      <c r="EO66" s="149"/>
      <c r="EP66" s="149"/>
      <c r="EQ66" s="149"/>
      <c r="ER66" s="149"/>
      <c r="ES66" s="149"/>
      <c r="ET66" s="149"/>
      <c r="EU66" s="149"/>
      <c r="EV66" s="149"/>
      <c r="EW66" s="149"/>
      <c r="EX66" s="149"/>
      <c r="EY66" s="149"/>
      <c r="EZ66" s="149"/>
      <c r="FA66" s="149"/>
      <c r="FB66" s="149"/>
      <c r="FC66" s="149"/>
      <c r="FD66" s="149"/>
      <c r="FE66" s="149"/>
      <c r="FF66" s="149"/>
      <c r="FG66" s="149"/>
      <c r="FH66" s="149"/>
      <c r="FI66" s="149"/>
      <c r="FJ66" s="149"/>
      <c r="FK66" s="149"/>
      <c r="FL66" s="149"/>
      <c r="FM66" s="149"/>
      <c r="FN66" s="149"/>
      <c r="FO66" s="149"/>
      <c r="FP66" s="149"/>
      <c r="FQ66" s="149"/>
      <c r="FR66" s="149"/>
      <c r="FS66" s="149"/>
      <c r="FT66" s="149"/>
      <c r="FU66" s="149"/>
      <c r="FV66" s="149"/>
      <c r="FW66" s="149"/>
      <c r="FX66" s="149"/>
      <c r="FY66" s="149"/>
      <c r="FZ66" s="149"/>
      <c r="GA66" s="149"/>
      <c r="GB66" s="149"/>
      <c r="GC66" s="149"/>
      <c r="GD66" s="149"/>
      <c r="GE66" s="149"/>
      <c r="GF66" s="149"/>
      <c r="GG66" s="149"/>
      <c r="GH66" s="149"/>
      <c r="GI66" s="149"/>
      <c r="GJ66" s="149"/>
      <c r="GK66" s="149"/>
      <c r="GL66" s="149"/>
      <c r="GM66" s="149"/>
      <c r="GN66" s="149"/>
      <c r="GO66" s="149"/>
      <c r="GP66" s="149"/>
      <c r="GQ66" s="149"/>
      <c r="GR66" s="149"/>
      <c r="GS66" s="149"/>
      <c r="GT66" s="149"/>
      <c r="GU66" s="149"/>
      <c r="GV66" s="149"/>
      <c r="GW66" s="149"/>
      <c r="GX66" s="149"/>
      <c r="GY66" s="149"/>
      <c r="GZ66" s="149"/>
      <c r="HA66" s="149"/>
      <c r="HB66" s="149"/>
      <c r="HC66" s="149"/>
      <c r="HD66" s="149"/>
      <c r="HE66" s="149"/>
      <c r="HF66" s="149"/>
      <c r="HG66" s="149"/>
      <c r="HH66" s="149"/>
      <c r="HI66" s="149"/>
      <c r="HJ66" s="149"/>
      <c r="HK66" s="149"/>
      <c r="HL66" s="149"/>
      <c r="HM66" s="149"/>
      <c r="HN66" s="149"/>
      <c r="HO66" s="149"/>
      <c r="HP66" s="149"/>
      <c r="HQ66" s="149"/>
      <c r="HR66" s="149"/>
      <c r="HS66" s="149"/>
      <c r="HT66" s="149"/>
      <c r="HU66" s="149"/>
      <c r="HV66" s="149"/>
      <c r="HW66" s="149"/>
      <c r="HX66" s="149"/>
      <c r="HY66" s="149"/>
      <c r="HZ66" s="149"/>
      <c r="IA66" s="149"/>
      <c r="IB66" s="149"/>
      <c r="IC66" s="149"/>
      <c r="ID66" s="149"/>
      <c r="IE66" s="149"/>
      <c r="IF66" s="149"/>
      <c r="IG66" s="149"/>
      <c r="IH66" s="149"/>
      <c r="II66" s="149"/>
      <c r="IJ66" s="149"/>
      <c r="IK66" s="149"/>
      <c r="IL66" s="149"/>
      <c r="IM66" s="149"/>
      <c r="IN66" s="149"/>
      <c r="IO66" s="149"/>
      <c r="IP66" s="149"/>
      <c r="IQ66" s="149"/>
      <c r="IR66" s="149"/>
      <c r="IS66" s="149"/>
      <c r="IT66" s="149"/>
      <c r="IU66" s="149"/>
      <c r="IV66" s="149"/>
    </row>
    <row r="67" spans="1:256" s="493" customFormat="1" ht="16.5" customHeight="1" x14ac:dyDescent="0.2">
      <c r="A67" s="71" t="str">
        <f>'Common-size FS'!A62</f>
        <v>Accum other comprehensive income (loss)</v>
      </c>
      <c r="B67" s="71">
        <f>'Common-size FS'!B62</f>
        <v>-29</v>
      </c>
      <c r="C67" s="71">
        <f>'Common-size FS'!C62</f>
        <v>-45</v>
      </c>
      <c r="D67" s="71">
        <f>'Common-size FS'!D62</f>
        <v>-47</v>
      </c>
      <c r="E67" s="71">
        <f>'Common-size FS'!E62</f>
        <v>-39</v>
      </c>
      <c r="F67" s="71">
        <f>'Common-size FS'!F62</f>
        <v>-64</v>
      </c>
      <c r="G67" s="71">
        <f>'Common-size FS'!G62</f>
        <v>-58</v>
      </c>
      <c r="H67" s="724"/>
      <c r="I67" s="724"/>
      <c r="J67" s="724"/>
      <c r="K67" s="724"/>
      <c r="L67" s="724"/>
      <c r="M67" s="724"/>
      <c r="N67" s="724"/>
      <c r="O67" s="724"/>
      <c r="P67" s="724"/>
      <c r="Q67" s="724"/>
      <c r="R67" s="724"/>
      <c r="S67" s="724"/>
      <c r="T67" s="724"/>
      <c r="U67" s="724"/>
      <c r="V67" s="724"/>
      <c r="W67" s="724"/>
      <c r="X67" s="724"/>
      <c r="Y67" s="724"/>
      <c r="Z67" s="724"/>
      <c r="AA67" s="227"/>
      <c r="AB67" s="227"/>
      <c r="AC67" s="227"/>
      <c r="AD67" s="227"/>
      <c r="AE67" s="227"/>
      <c r="AF67" s="227"/>
      <c r="AG67" s="227"/>
      <c r="AH67" s="227"/>
      <c r="AI67" s="227"/>
      <c r="AJ67" s="227"/>
      <c r="AK67" s="227"/>
      <c r="AL67" s="227"/>
      <c r="AM67" s="227"/>
      <c r="AN67" s="227"/>
      <c r="AO67" s="227"/>
      <c r="AP67" s="227"/>
      <c r="AQ67" s="227"/>
      <c r="AR67" s="227"/>
      <c r="AS67" s="227"/>
      <c r="AT67" s="227"/>
      <c r="AU67" s="227"/>
      <c r="AV67" s="227"/>
      <c r="AW67" s="227"/>
      <c r="AX67" s="227"/>
      <c r="AY67" s="227"/>
      <c r="AZ67" s="227"/>
      <c r="BA67" s="227"/>
      <c r="BB67" s="227"/>
      <c r="BC67" s="227"/>
      <c r="BD67" s="227"/>
      <c r="BE67" s="227"/>
      <c r="BF67" s="227"/>
      <c r="BG67" s="227"/>
      <c r="BH67" s="227"/>
      <c r="BI67" s="227"/>
      <c r="BJ67" s="227"/>
      <c r="BK67" s="227"/>
      <c r="BL67" s="227"/>
      <c r="BM67" s="227"/>
      <c r="BN67" s="227"/>
      <c r="BO67" s="227"/>
      <c r="BP67" s="227"/>
      <c r="BQ67" s="227"/>
      <c r="BR67" s="227"/>
      <c r="BS67" s="227"/>
      <c r="BT67" s="227"/>
      <c r="BU67" s="227"/>
      <c r="BV67" s="227"/>
      <c r="BW67" s="227"/>
      <c r="BX67" s="227"/>
      <c r="BY67" s="227"/>
      <c r="BZ67" s="227"/>
      <c r="CA67" s="227"/>
      <c r="CB67" s="227"/>
      <c r="CC67" s="227"/>
      <c r="CD67" s="227"/>
      <c r="CE67" s="227"/>
      <c r="CF67" s="227"/>
      <c r="CG67" s="227"/>
      <c r="CH67" s="227"/>
      <c r="CI67" s="227"/>
      <c r="CJ67" s="227"/>
      <c r="CK67" s="227"/>
      <c r="CL67" s="227"/>
      <c r="CM67" s="227"/>
      <c r="CN67" s="227"/>
      <c r="CO67" s="227"/>
      <c r="CP67" s="227"/>
      <c r="CQ67" s="227"/>
      <c r="CR67" s="227"/>
      <c r="CS67" s="227"/>
      <c r="CT67" s="227"/>
      <c r="CU67" s="227"/>
      <c r="CV67" s="227"/>
      <c r="CW67" s="227"/>
      <c r="CX67" s="227"/>
      <c r="CY67" s="227"/>
      <c r="CZ67" s="227"/>
      <c r="DA67" s="227"/>
      <c r="DB67" s="227"/>
      <c r="DC67" s="227"/>
      <c r="DD67" s="227"/>
      <c r="DE67" s="227"/>
      <c r="DF67" s="227"/>
      <c r="DG67" s="227"/>
      <c r="DH67" s="227"/>
      <c r="DI67" s="227"/>
      <c r="DJ67" s="227"/>
      <c r="DK67" s="227"/>
      <c r="DL67" s="227"/>
      <c r="DM67" s="227"/>
      <c r="DN67" s="227"/>
      <c r="DO67" s="227"/>
      <c r="DP67" s="227"/>
      <c r="DQ67" s="227"/>
      <c r="DR67" s="227"/>
      <c r="DS67" s="227"/>
      <c r="DT67" s="227"/>
      <c r="DU67" s="227"/>
      <c r="DV67" s="227"/>
      <c r="DW67" s="227"/>
      <c r="DX67" s="227"/>
      <c r="DY67" s="227"/>
      <c r="DZ67" s="227"/>
      <c r="EA67" s="227"/>
      <c r="EB67" s="227"/>
      <c r="EC67" s="227"/>
      <c r="ED67" s="227"/>
      <c r="EE67" s="227"/>
      <c r="EF67" s="227"/>
      <c r="EG67" s="227"/>
      <c r="EH67" s="227"/>
      <c r="EI67" s="227"/>
      <c r="EJ67" s="227"/>
      <c r="EK67" s="227"/>
      <c r="EL67" s="227"/>
      <c r="EM67" s="227"/>
      <c r="EN67" s="227"/>
      <c r="EO67" s="227"/>
      <c r="EP67" s="227"/>
      <c r="EQ67" s="227"/>
      <c r="ER67" s="227"/>
      <c r="ES67" s="227"/>
      <c r="ET67" s="227"/>
      <c r="EU67" s="227"/>
      <c r="EV67" s="227"/>
      <c r="EW67" s="227"/>
      <c r="EX67" s="227"/>
      <c r="EY67" s="227"/>
      <c r="EZ67" s="227"/>
      <c r="FA67" s="227"/>
      <c r="FB67" s="227"/>
      <c r="FC67" s="227"/>
      <c r="FD67" s="227"/>
      <c r="FE67" s="227"/>
      <c r="FF67" s="227"/>
      <c r="FG67" s="227"/>
      <c r="FH67" s="227"/>
      <c r="FI67" s="227"/>
      <c r="FJ67" s="227"/>
      <c r="FK67" s="227"/>
      <c r="FL67" s="227"/>
      <c r="FM67" s="227"/>
      <c r="FN67" s="227"/>
      <c r="FO67" s="227"/>
      <c r="FP67" s="227"/>
      <c r="FQ67" s="227"/>
      <c r="FR67" s="227"/>
      <c r="FS67" s="227"/>
      <c r="FT67" s="227"/>
      <c r="FU67" s="227"/>
      <c r="FV67" s="227"/>
      <c r="FW67" s="227"/>
      <c r="FX67" s="227"/>
      <c r="FY67" s="227"/>
      <c r="FZ67" s="227"/>
      <c r="GA67" s="227"/>
      <c r="GB67" s="227"/>
      <c r="GC67" s="227"/>
      <c r="GD67" s="227"/>
      <c r="GE67" s="227"/>
      <c r="GF67" s="227"/>
      <c r="GG67" s="227"/>
      <c r="GH67" s="227"/>
      <c r="GI67" s="227"/>
      <c r="GJ67" s="227"/>
      <c r="GK67" s="227"/>
      <c r="GL67" s="227"/>
      <c r="GM67" s="227"/>
      <c r="GN67" s="227"/>
      <c r="GO67" s="227"/>
      <c r="GP67" s="227"/>
      <c r="GQ67" s="227"/>
      <c r="GR67" s="227"/>
      <c r="GS67" s="227"/>
      <c r="GT67" s="227"/>
      <c r="GU67" s="227"/>
      <c r="GV67" s="227"/>
      <c r="GW67" s="227"/>
      <c r="GX67" s="227"/>
      <c r="GY67" s="227"/>
      <c r="GZ67" s="227"/>
      <c r="HA67" s="227"/>
      <c r="HB67" s="227"/>
      <c r="HC67" s="227"/>
      <c r="HD67" s="227"/>
      <c r="HE67" s="227"/>
      <c r="HF67" s="227"/>
      <c r="HG67" s="227"/>
      <c r="HH67" s="227"/>
      <c r="HI67" s="227"/>
      <c r="HJ67" s="227"/>
      <c r="HK67" s="227"/>
      <c r="HL67" s="227"/>
      <c r="HM67" s="227"/>
      <c r="HN67" s="227"/>
      <c r="HO67" s="227"/>
      <c r="HP67" s="227"/>
      <c r="HQ67" s="227"/>
      <c r="HR67" s="227"/>
      <c r="HS67" s="227"/>
      <c r="HT67" s="227"/>
      <c r="HU67" s="227"/>
      <c r="HV67" s="227"/>
      <c r="HW67" s="227"/>
      <c r="HX67" s="227"/>
      <c r="HY67" s="227"/>
      <c r="HZ67" s="227"/>
      <c r="IA67" s="227"/>
      <c r="IB67" s="227"/>
      <c r="IC67" s="227"/>
      <c r="ID67" s="227"/>
      <c r="IE67" s="227"/>
      <c r="IF67" s="227"/>
      <c r="IG67" s="227"/>
      <c r="IH67" s="227"/>
      <c r="II67" s="227"/>
      <c r="IJ67" s="227"/>
      <c r="IK67" s="227"/>
      <c r="IL67" s="227"/>
      <c r="IM67" s="227"/>
      <c r="IN67" s="227"/>
      <c r="IO67" s="227"/>
      <c r="IP67" s="227"/>
      <c r="IQ67" s="227"/>
      <c r="IR67" s="227"/>
      <c r="IS67" s="227"/>
      <c r="IT67" s="227"/>
      <c r="IU67" s="227"/>
      <c r="IV67" s="227"/>
    </row>
    <row r="68" spans="1:256" s="535" customFormat="1" ht="16.5" customHeight="1" thickBot="1" x14ac:dyDescent="0.25">
      <c r="A68" s="105" t="s">
        <v>81</v>
      </c>
      <c r="B68" s="414">
        <f t="shared" ref="B68:G68" si="8">SUM(B61:B67)</f>
        <v>2021</v>
      </c>
      <c r="C68" s="29">
        <f t="shared" si="8"/>
        <v>1956</v>
      </c>
      <c r="D68" s="29">
        <f t="shared" si="8"/>
        <v>1913</v>
      </c>
      <c r="E68" s="29">
        <f t="shared" si="8"/>
        <v>2080</v>
      </c>
      <c r="F68" s="29">
        <f t="shared" si="8"/>
        <v>2440</v>
      </c>
      <c r="G68" s="29">
        <f t="shared" si="8"/>
        <v>871</v>
      </c>
      <c r="H68" s="727"/>
      <c r="I68" s="727"/>
      <c r="J68" s="727"/>
      <c r="K68" s="727"/>
      <c r="L68" s="727"/>
      <c r="M68" s="727"/>
      <c r="N68" s="727"/>
      <c r="O68" s="727"/>
      <c r="P68" s="727"/>
      <c r="Q68" s="727"/>
      <c r="R68" s="727"/>
      <c r="S68" s="727"/>
      <c r="T68" s="727"/>
      <c r="U68" s="727"/>
      <c r="V68" s="727"/>
      <c r="W68" s="727"/>
      <c r="X68" s="727"/>
      <c r="Y68" s="727"/>
      <c r="Z68" s="727"/>
      <c r="AA68" s="419"/>
      <c r="AB68" s="419"/>
      <c r="AC68" s="419"/>
      <c r="AD68" s="419"/>
      <c r="AE68" s="419"/>
      <c r="AF68" s="419"/>
      <c r="AG68" s="419"/>
      <c r="AH68" s="419"/>
      <c r="AI68" s="419"/>
      <c r="AJ68" s="419"/>
      <c r="AK68" s="419"/>
      <c r="AL68" s="419"/>
      <c r="AM68" s="419"/>
      <c r="AN68" s="419"/>
      <c r="AO68" s="419"/>
      <c r="AP68" s="419"/>
      <c r="AQ68" s="419"/>
      <c r="AR68" s="419"/>
      <c r="AS68" s="419"/>
      <c r="AT68" s="419"/>
      <c r="AU68" s="419"/>
      <c r="AV68" s="419"/>
      <c r="AW68" s="419"/>
      <c r="AX68" s="419"/>
      <c r="AY68" s="419"/>
      <c r="AZ68" s="419"/>
      <c r="BA68" s="419"/>
      <c r="BB68" s="419"/>
      <c r="BC68" s="419"/>
      <c r="BD68" s="419"/>
      <c r="BE68" s="419"/>
      <c r="BF68" s="419"/>
      <c r="BG68" s="419"/>
      <c r="BH68" s="419"/>
      <c r="BI68" s="419"/>
      <c r="BJ68" s="419"/>
      <c r="BK68" s="419"/>
      <c r="BL68" s="419"/>
      <c r="BM68" s="419"/>
      <c r="BN68" s="419"/>
      <c r="BO68" s="419"/>
      <c r="BP68" s="419"/>
      <c r="BQ68" s="419"/>
      <c r="BR68" s="419"/>
      <c r="BS68" s="419"/>
      <c r="BT68" s="419"/>
      <c r="BU68" s="419"/>
      <c r="BV68" s="419"/>
      <c r="BW68" s="419"/>
      <c r="BX68" s="419"/>
      <c r="BY68" s="419"/>
      <c r="BZ68" s="419"/>
      <c r="CA68" s="419"/>
      <c r="CB68" s="419"/>
      <c r="CC68" s="419"/>
      <c r="CD68" s="419"/>
      <c r="CE68" s="419"/>
      <c r="CF68" s="419"/>
      <c r="CG68" s="419"/>
      <c r="CH68" s="419"/>
      <c r="CI68" s="419"/>
      <c r="CJ68" s="419"/>
      <c r="CK68" s="419"/>
      <c r="CL68" s="419"/>
      <c r="CM68" s="419"/>
      <c r="CN68" s="419"/>
      <c r="CO68" s="419"/>
      <c r="CP68" s="419"/>
      <c r="CQ68" s="419"/>
      <c r="CR68" s="419"/>
      <c r="CS68" s="419"/>
      <c r="CT68" s="419"/>
      <c r="CU68" s="419"/>
      <c r="CV68" s="419"/>
      <c r="CW68" s="419"/>
      <c r="CX68" s="419"/>
      <c r="CY68" s="419"/>
      <c r="CZ68" s="419"/>
      <c r="DA68" s="419"/>
      <c r="DB68" s="419"/>
      <c r="DC68" s="419"/>
      <c r="DD68" s="419"/>
      <c r="DE68" s="419"/>
      <c r="DF68" s="419"/>
      <c r="DG68" s="419"/>
      <c r="DH68" s="419"/>
      <c r="DI68" s="419"/>
      <c r="DJ68" s="419"/>
      <c r="DK68" s="419"/>
      <c r="DL68" s="419"/>
      <c r="DM68" s="419"/>
      <c r="DN68" s="419"/>
      <c r="DO68" s="419"/>
      <c r="DP68" s="419"/>
      <c r="DQ68" s="419"/>
      <c r="DR68" s="419"/>
      <c r="DS68" s="419"/>
      <c r="DT68" s="419"/>
      <c r="DU68" s="419"/>
      <c r="DV68" s="419"/>
      <c r="DW68" s="419"/>
      <c r="DX68" s="419"/>
      <c r="DY68" s="419"/>
      <c r="DZ68" s="419"/>
      <c r="EA68" s="419"/>
      <c r="EB68" s="419"/>
      <c r="EC68" s="419"/>
      <c r="ED68" s="419"/>
      <c r="EE68" s="419"/>
      <c r="EF68" s="419"/>
      <c r="EG68" s="419"/>
      <c r="EH68" s="419"/>
      <c r="EI68" s="419"/>
      <c r="EJ68" s="419"/>
      <c r="EK68" s="419"/>
      <c r="EL68" s="419"/>
      <c r="EM68" s="419"/>
      <c r="EN68" s="419"/>
      <c r="EO68" s="419"/>
      <c r="EP68" s="419"/>
      <c r="EQ68" s="419"/>
      <c r="ER68" s="419"/>
      <c r="ES68" s="419"/>
      <c r="ET68" s="419"/>
      <c r="EU68" s="419"/>
      <c r="EV68" s="419"/>
      <c r="EW68" s="419"/>
      <c r="EX68" s="419"/>
      <c r="EY68" s="419"/>
      <c r="EZ68" s="419"/>
      <c r="FA68" s="419"/>
      <c r="FB68" s="419"/>
      <c r="FC68" s="419"/>
      <c r="FD68" s="419"/>
      <c r="FE68" s="419"/>
      <c r="FF68" s="419"/>
      <c r="FG68" s="419"/>
      <c r="FH68" s="419"/>
      <c r="FI68" s="419"/>
      <c r="FJ68" s="419"/>
      <c r="FK68" s="419"/>
      <c r="FL68" s="419"/>
      <c r="FM68" s="419"/>
      <c r="FN68" s="419"/>
      <c r="FO68" s="419"/>
      <c r="FP68" s="419"/>
      <c r="FQ68" s="419"/>
      <c r="FR68" s="419"/>
      <c r="FS68" s="419"/>
      <c r="FT68" s="419"/>
      <c r="FU68" s="419"/>
      <c r="FV68" s="419"/>
      <c r="FW68" s="419"/>
      <c r="FX68" s="419"/>
      <c r="FY68" s="419"/>
      <c r="FZ68" s="419"/>
      <c r="GA68" s="419"/>
      <c r="GB68" s="419"/>
      <c r="GC68" s="419"/>
      <c r="GD68" s="419"/>
      <c r="GE68" s="419"/>
      <c r="GF68" s="419"/>
      <c r="GG68" s="419"/>
      <c r="GH68" s="419"/>
      <c r="GI68" s="419"/>
      <c r="GJ68" s="419"/>
      <c r="GK68" s="419"/>
      <c r="GL68" s="419"/>
      <c r="GM68" s="419"/>
      <c r="GN68" s="419"/>
      <c r="GO68" s="419"/>
      <c r="GP68" s="419"/>
      <c r="GQ68" s="419"/>
      <c r="GR68" s="419"/>
      <c r="GS68" s="419"/>
      <c r="GT68" s="419"/>
      <c r="GU68" s="419"/>
      <c r="GV68" s="419"/>
      <c r="GW68" s="419"/>
      <c r="GX68" s="419"/>
      <c r="GY68" s="419"/>
      <c r="GZ68" s="419"/>
      <c r="HA68" s="419"/>
      <c r="HB68" s="419"/>
      <c r="HC68" s="419"/>
      <c r="HD68" s="419"/>
      <c r="HE68" s="419"/>
      <c r="HF68" s="419"/>
      <c r="HG68" s="419"/>
      <c r="HH68" s="419"/>
      <c r="HI68" s="419"/>
      <c r="HJ68" s="419"/>
      <c r="HK68" s="419"/>
      <c r="HL68" s="419"/>
      <c r="HM68" s="419"/>
      <c r="HN68" s="419"/>
      <c r="HO68" s="419"/>
      <c r="HP68" s="419"/>
      <c r="HQ68" s="419"/>
      <c r="HR68" s="419"/>
      <c r="HS68" s="419"/>
      <c r="HT68" s="419"/>
      <c r="HU68" s="419"/>
      <c r="HV68" s="419"/>
      <c r="HW68" s="419"/>
      <c r="HX68" s="419"/>
      <c r="HY68" s="419"/>
      <c r="HZ68" s="419"/>
      <c r="IA68" s="419"/>
      <c r="IB68" s="419"/>
      <c r="IC68" s="419"/>
      <c r="ID68" s="419"/>
      <c r="IE68" s="419"/>
      <c r="IF68" s="419"/>
      <c r="IG68" s="419"/>
      <c r="IH68" s="419"/>
      <c r="II68" s="419"/>
      <c r="IJ68" s="419"/>
      <c r="IK68" s="419"/>
      <c r="IL68" s="419"/>
      <c r="IM68" s="419"/>
      <c r="IN68" s="419"/>
      <c r="IO68" s="419"/>
      <c r="IP68" s="419"/>
      <c r="IQ68" s="419"/>
      <c r="IR68" s="419"/>
      <c r="IS68" s="419"/>
      <c r="IT68" s="419"/>
      <c r="IU68" s="419"/>
      <c r="IV68" s="419"/>
    </row>
    <row r="69" spans="1:256" s="536" customFormat="1" ht="16.5" customHeight="1" thickBot="1" x14ac:dyDescent="0.25">
      <c r="A69" s="485" t="s">
        <v>511</v>
      </c>
      <c r="B69" s="541" t="s">
        <v>47</v>
      </c>
      <c r="C69" s="487">
        <f>ROUND(AVERAGE(B68:C68),-1)</f>
        <v>1990</v>
      </c>
      <c r="D69" s="487">
        <f>ROUND(AVERAGE(C68:D68),-1)</f>
        <v>1930</v>
      </c>
      <c r="E69" s="487">
        <f>ROUND(AVERAGE(D68:E68),-1)</f>
        <v>2000</v>
      </c>
      <c r="F69" s="487">
        <f>ROUND(AVERAGE(E68:F68),-1)</f>
        <v>2260</v>
      </c>
      <c r="G69" s="487">
        <f>ROUND(AVERAGE(F68:G68),-1)</f>
        <v>1660</v>
      </c>
      <c r="H69" s="1056"/>
      <c r="I69" s="1056"/>
      <c r="J69" s="1056"/>
      <c r="K69" s="1056"/>
      <c r="L69" s="1056"/>
      <c r="M69" s="1056"/>
      <c r="N69" s="1056"/>
      <c r="O69" s="1056"/>
      <c r="P69" s="1056"/>
      <c r="Q69" s="1056"/>
      <c r="R69" s="1056"/>
      <c r="S69" s="1056"/>
      <c r="T69" s="1056"/>
      <c r="U69" s="1056"/>
      <c r="V69" s="1056"/>
      <c r="W69" s="1056"/>
      <c r="X69" s="1056"/>
      <c r="Y69" s="1056"/>
      <c r="Z69" s="1056"/>
      <c r="AA69" s="488"/>
      <c r="AB69" s="488"/>
      <c r="AC69" s="488"/>
      <c r="AD69" s="488"/>
      <c r="AE69" s="488"/>
      <c r="AF69" s="488"/>
      <c r="AG69" s="488"/>
      <c r="AH69" s="488"/>
      <c r="AI69" s="488"/>
      <c r="AJ69" s="488"/>
      <c r="AK69" s="488"/>
      <c r="AL69" s="488"/>
      <c r="AM69" s="488"/>
      <c r="AN69" s="488"/>
      <c r="AO69" s="488"/>
      <c r="AP69" s="488"/>
      <c r="AQ69" s="488"/>
      <c r="AR69" s="488"/>
      <c r="AS69" s="488"/>
      <c r="AT69" s="488"/>
      <c r="AU69" s="488"/>
      <c r="AV69" s="488"/>
      <c r="AW69" s="488"/>
      <c r="AX69" s="488"/>
      <c r="AY69" s="488"/>
      <c r="AZ69" s="488"/>
      <c r="BA69" s="488"/>
      <c r="BB69" s="488"/>
      <c r="BC69" s="488"/>
      <c r="BD69" s="488"/>
      <c r="BE69" s="488"/>
      <c r="BF69" s="488"/>
      <c r="BG69" s="488"/>
      <c r="BH69" s="488"/>
      <c r="BI69" s="488"/>
      <c r="BJ69" s="488"/>
      <c r="BK69" s="488"/>
      <c r="BL69" s="488"/>
      <c r="BM69" s="488"/>
      <c r="BN69" s="488"/>
      <c r="BO69" s="488"/>
      <c r="BP69" s="488"/>
      <c r="BQ69" s="488"/>
      <c r="BR69" s="488"/>
      <c r="BS69" s="488"/>
      <c r="BT69" s="488"/>
      <c r="BU69" s="488"/>
      <c r="BV69" s="488"/>
      <c r="BW69" s="488"/>
      <c r="BX69" s="488"/>
      <c r="BY69" s="488"/>
      <c r="BZ69" s="488"/>
      <c r="CA69" s="488"/>
      <c r="CB69" s="488"/>
      <c r="CC69" s="488"/>
      <c r="CD69" s="488"/>
      <c r="CE69" s="488"/>
      <c r="CF69" s="488"/>
      <c r="CG69" s="488"/>
      <c r="CH69" s="488"/>
      <c r="CI69" s="488"/>
      <c r="CJ69" s="488"/>
      <c r="CK69" s="488"/>
      <c r="CL69" s="488"/>
      <c r="CM69" s="488"/>
      <c r="CN69" s="488"/>
      <c r="CO69" s="488"/>
      <c r="CP69" s="488"/>
      <c r="CQ69" s="488"/>
      <c r="CR69" s="488"/>
      <c r="CS69" s="488"/>
      <c r="CT69" s="488"/>
      <c r="CU69" s="488"/>
      <c r="CV69" s="488"/>
      <c r="CW69" s="488"/>
      <c r="CX69" s="488"/>
      <c r="CY69" s="488"/>
      <c r="CZ69" s="488"/>
      <c r="DA69" s="488"/>
      <c r="DB69" s="488"/>
      <c r="DC69" s="488"/>
      <c r="DD69" s="488"/>
      <c r="DE69" s="488"/>
      <c r="DF69" s="488"/>
      <c r="DG69" s="488"/>
      <c r="DH69" s="488"/>
      <c r="DI69" s="488"/>
      <c r="DJ69" s="488"/>
      <c r="DK69" s="488"/>
      <c r="DL69" s="488"/>
      <c r="DM69" s="488"/>
      <c r="DN69" s="488"/>
      <c r="DO69" s="488"/>
      <c r="DP69" s="488"/>
      <c r="DQ69" s="488"/>
      <c r="DR69" s="488"/>
      <c r="DS69" s="488"/>
      <c r="DT69" s="488"/>
      <c r="DU69" s="488"/>
      <c r="DV69" s="488"/>
      <c r="DW69" s="488"/>
      <c r="DX69" s="488"/>
      <c r="DY69" s="488"/>
      <c r="DZ69" s="488"/>
      <c r="EA69" s="488"/>
      <c r="EB69" s="488"/>
      <c r="EC69" s="488"/>
      <c r="ED69" s="488"/>
      <c r="EE69" s="488"/>
      <c r="EF69" s="488"/>
      <c r="EG69" s="488"/>
      <c r="EH69" s="488"/>
      <c r="EI69" s="488"/>
      <c r="EJ69" s="488"/>
      <c r="EK69" s="488"/>
      <c r="EL69" s="488"/>
      <c r="EM69" s="488"/>
      <c r="EN69" s="488"/>
      <c r="EO69" s="488"/>
      <c r="EP69" s="488"/>
      <c r="EQ69" s="488"/>
      <c r="ER69" s="488"/>
      <c r="ES69" s="488"/>
      <c r="ET69" s="488"/>
      <c r="EU69" s="488"/>
      <c r="EV69" s="488"/>
      <c r="EW69" s="488"/>
      <c r="EX69" s="488"/>
      <c r="EY69" s="488"/>
      <c r="EZ69" s="488"/>
      <c r="FA69" s="488"/>
      <c r="FB69" s="488"/>
      <c r="FC69" s="488"/>
      <c r="FD69" s="488"/>
      <c r="FE69" s="488"/>
      <c r="FF69" s="488"/>
      <c r="FG69" s="488"/>
      <c r="FH69" s="488"/>
      <c r="FI69" s="488"/>
      <c r="FJ69" s="488"/>
      <c r="FK69" s="488"/>
      <c r="FL69" s="488"/>
      <c r="FM69" s="488"/>
      <c r="FN69" s="488"/>
      <c r="FO69" s="488"/>
      <c r="FP69" s="488"/>
      <c r="FQ69" s="488"/>
      <c r="FR69" s="488"/>
      <c r="FS69" s="488"/>
      <c r="FT69" s="488"/>
      <c r="FU69" s="488"/>
      <c r="FV69" s="488"/>
      <c r="FW69" s="488"/>
      <c r="FX69" s="488"/>
      <c r="FY69" s="488"/>
      <c r="FZ69" s="488"/>
      <c r="GA69" s="488"/>
      <c r="GB69" s="488"/>
      <c r="GC69" s="488"/>
      <c r="GD69" s="488"/>
      <c r="GE69" s="488"/>
      <c r="GF69" s="488"/>
      <c r="GG69" s="488"/>
      <c r="GH69" s="488"/>
      <c r="GI69" s="488"/>
      <c r="GJ69" s="488"/>
      <c r="GK69" s="488"/>
      <c r="GL69" s="488"/>
      <c r="GM69" s="488"/>
      <c r="GN69" s="488"/>
      <c r="GO69" s="488"/>
      <c r="GP69" s="488"/>
      <c r="GQ69" s="488"/>
      <c r="GR69" s="488"/>
      <c r="GS69" s="488"/>
      <c r="GT69" s="488"/>
      <c r="GU69" s="488"/>
      <c r="GV69" s="488"/>
      <c r="GW69" s="488"/>
      <c r="GX69" s="488"/>
      <c r="GY69" s="488"/>
      <c r="GZ69" s="488"/>
      <c r="HA69" s="488"/>
      <c r="HB69" s="488"/>
      <c r="HC69" s="488"/>
      <c r="HD69" s="488"/>
      <c r="HE69" s="488"/>
      <c r="HF69" s="488"/>
      <c r="HG69" s="488"/>
      <c r="HH69" s="488"/>
      <c r="HI69" s="488"/>
      <c r="HJ69" s="488"/>
      <c r="HK69" s="488"/>
      <c r="HL69" s="488"/>
      <c r="HM69" s="488"/>
      <c r="HN69" s="488"/>
      <c r="HO69" s="488"/>
      <c r="HP69" s="488"/>
      <c r="HQ69" s="488"/>
      <c r="HR69" s="488"/>
      <c r="HS69" s="488"/>
      <c r="HT69" s="488"/>
      <c r="HU69" s="488"/>
      <c r="HV69" s="488"/>
      <c r="HW69" s="488"/>
      <c r="HX69" s="488"/>
      <c r="HY69" s="488"/>
      <c r="HZ69" s="488"/>
      <c r="IA69" s="488"/>
      <c r="IB69" s="488"/>
      <c r="IC69" s="488"/>
      <c r="ID69" s="488"/>
      <c r="IE69" s="488"/>
      <c r="IF69" s="488"/>
      <c r="IG69" s="488"/>
      <c r="IH69" s="488"/>
      <c r="II69" s="488"/>
      <c r="IJ69" s="488"/>
      <c r="IK69" s="488"/>
      <c r="IL69" s="488"/>
      <c r="IM69" s="488"/>
      <c r="IN69" s="488"/>
      <c r="IO69" s="488"/>
      <c r="IP69" s="488"/>
      <c r="IQ69" s="488"/>
      <c r="IR69" s="488"/>
      <c r="IS69" s="488"/>
      <c r="IT69" s="488"/>
      <c r="IU69" s="488"/>
      <c r="IV69" s="488"/>
    </row>
    <row r="70" spans="1:256" s="208" customFormat="1" ht="9" customHeight="1" x14ac:dyDescent="0.2">
      <c r="A70" s="199"/>
      <c r="B70" s="491"/>
      <c r="C70" s="193"/>
      <c r="D70" s="193"/>
      <c r="E70" s="193"/>
      <c r="F70" s="193"/>
      <c r="G70" s="193"/>
      <c r="H70" s="677"/>
      <c r="I70" s="677"/>
      <c r="J70" s="677"/>
      <c r="K70" s="677"/>
      <c r="L70" s="677"/>
      <c r="M70" s="677"/>
      <c r="N70" s="677"/>
      <c r="O70" s="677"/>
      <c r="P70" s="677"/>
      <c r="Q70" s="677"/>
      <c r="R70" s="677"/>
      <c r="S70" s="677"/>
      <c r="T70" s="677"/>
      <c r="U70" s="677"/>
      <c r="V70" s="677"/>
      <c r="W70" s="677"/>
      <c r="X70" s="677"/>
      <c r="Y70" s="677"/>
      <c r="Z70" s="677"/>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c r="BE70" s="193"/>
      <c r="BF70" s="193"/>
      <c r="BG70" s="193"/>
      <c r="BH70" s="193"/>
      <c r="BI70" s="193"/>
      <c r="BJ70" s="193"/>
      <c r="BK70" s="193"/>
      <c r="BL70" s="193"/>
      <c r="BM70" s="193"/>
      <c r="BN70" s="193"/>
      <c r="BO70" s="193"/>
      <c r="BP70" s="193"/>
      <c r="BQ70" s="193"/>
      <c r="BR70" s="193"/>
      <c r="BS70" s="193"/>
      <c r="BT70" s="193"/>
      <c r="BU70" s="193"/>
      <c r="BV70" s="193"/>
      <c r="BW70" s="193"/>
      <c r="BX70" s="193"/>
      <c r="BY70" s="193"/>
      <c r="BZ70" s="193"/>
      <c r="CA70" s="193"/>
      <c r="CB70" s="193"/>
      <c r="CC70" s="193"/>
      <c r="CD70" s="193"/>
      <c r="CE70" s="193"/>
      <c r="CF70" s="193"/>
      <c r="CG70" s="193"/>
      <c r="CH70" s="193"/>
      <c r="CI70" s="193"/>
      <c r="CJ70" s="193"/>
      <c r="CK70" s="193"/>
      <c r="CL70" s="193"/>
      <c r="CM70" s="193"/>
      <c r="CN70" s="193"/>
      <c r="CO70" s="193"/>
      <c r="CP70" s="193"/>
      <c r="CQ70" s="193"/>
      <c r="CR70" s="193"/>
      <c r="CS70" s="193"/>
      <c r="CT70" s="193"/>
      <c r="CU70" s="193"/>
      <c r="CV70" s="193"/>
      <c r="CW70" s="193"/>
      <c r="CX70" s="193"/>
      <c r="CY70" s="193"/>
      <c r="CZ70" s="193"/>
      <c r="DA70" s="193"/>
      <c r="DB70" s="193"/>
      <c r="DC70" s="193"/>
      <c r="DD70" s="193"/>
      <c r="DE70" s="193"/>
      <c r="DF70" s="193"/>
      <c r="DG70" s="193"/>
      <c r="DH70" s="193"/>
      <c r="DI70" s="193"/>
      <c r="DJ70" s="193"/>
      <c r="DK70" s="193"/>
      <c r="DL70" s="193"/>
      <c r="DM70" s="193"/>
      <c r="DN70" s="193"/>
      <c r="DO70" s="193"/>
      <c r="DP70" s="193"/>
      <c r="DQ70" s="193"/>
      <c r="DR70" s="193"/>
      <c r="DS70" s="193"/>
      <c r="DT70" s="193"/>
      <c r="DU70" s="193"/>
      <c r="DV70" s="193"/>
      <c r="DW70" s="193"/>
      <c r="DX70" s="193"/>
      <c r="DY70" s="193"/>
      <c r="DZ70" s="193"/>
      <c r="EA70" s="193"/>
      <c r="EB70" s="193"/>
      <c r="EC70" s="193"/>
      <c r="ED70" s="193"/>
      <c r="EE70" s="193"/>
      <c r="EF70" s="193"/>
      <c r="EG70" s="193"/>
      <c r="EH70" s="193"/>
      <c r="EI70" s="193"/>
      <c r="EJ70" s="193"/>
      <c r="EK70" s="193"/>
      <c r="EL70" s="193"/>
      <c r="EM70" s="193"/>
      <c r="EN70" s="193"/>
      <c r="EO70" s="193"/>
      <c r="EP70" s="193"/>
      <c r="EQ70" s="193"/>
      <c r="ER70" s="193"/>
      <c r="ES70" s="193"/>
      <c r="ET70" s="193"/>
      <c r="EU70" s="193"/>
      <c r="EV70" s="193"/>
      <c r="EW70" s="193"/>
      <c r="EX70" s="193"/>
      <c r="EY70" s="193"/>
      <c r="EZ70" s="193"/>
      <c r="FA70" s="193"/>
      <c r="FB70" s="193"/>
      <c r="FC70" s="193"/>
      <c r="FD70" s="193"/>
      <c r="FE70" s="193"/>
      <c r="FF70" s="193"/>
      <c r="FG70" s="193"/>
      <c r="FH70" s="193"/>
      <c r="FI70" s="193"/>
      <c r="FJ70" s="193"/>
      <c r="FK70" s="193"/>
      <c r="FL70" s="193"/>
      <c r="FM70" s="193"/>
      <c r="FN70" s="193"/>
      <c r="FO70" s="193"/>
      <c r="FP70" s="193"/>
      <c r="FQ70" s="193"/>
      <c r="FR70" s="193"/>
      <c r="FS70" s="193"/>
      <c r="FT70" s="193"/>
      <c r="FU70" s="193"/>
      <c r="FV70" s="193"/>
      <c r="FW70" s="193"/>
      <c r="FX70" s="193"/>
      <c r="FY70" s="193"/>
      <c r="FZ70" s="193"/>
      <c r="GA70" s="193"/>
      <c r="GB70" s="193"/>
      <c r="GC70" s="193"/>
      <c r="GD70" s="193"/>
      <c r="GE70" s="193"/>
      <c r="GF70" s="193"/>
      <c r="GG70" s="193"/>
      <c r="GH70" s="193"/>
      <c r="GI70" s="193"/>
      <c r="GJ70" s="193"/>
      <c r="GK70" s="193"/>
      <c r="GL70" s="193"/>
      <c r="GM70" s="193"/>
      <c r="GN70" s="193"/>
      <c r="GO70" s="193"/>
      <c r="GP70" s="193"/>
      <c r="GQ70" s="193"/>
      <c r="GR70" s="193"/>
      <c r="GS70" s="193"/>
      <c r="GT70" s="193"/>
      <c r="GU70" s="193"/>
      <c r="GV70" s="193"/>
      <c r="GW70" s="193"/>
      <c r="GX70" s="193"/>
      <c r="GY70" s="193"/>
      <c r="GZ70" s="193"/>
      <c r="HA70" s="193"/>
      <c r="HB70" s="193"/>
      <c r="HC70" s="193"/>
      <c r="HD70" s="193"/>
      <c r="HE70" s="193"/>
      <c r="HF70" s="193"/>
      <c r="HG70" s="193"/>
      <c r="HH70" s="193"/>
      <c r="HI70" s="193"/>
      <c r="HJ70" s="193"/>
      <c r="HK70" s="193"/>
      <c r="HL70" s="193"/>
      <c r="HM70" s="193"/>
      <c r="HN70" s="193"/>
      <c r="HO70" s="193"/>
      <c r="HP70" s="193"/>
      <c r="HQ70" s="193"/>
      <c r="HR70" s="193"/>
      <c r="HS70" s="193"/>
      <c r="HT70" s="193"/>
      <c r="HU70" s="193"/>
      <c r="HV70" s="193"/>
      <c r="HW70" s="193"/>
      <c r="HX70" s="193"/>
      <c r="HY70" s="193"/>
      <c r="HZ70" s="193"/>
      <c r="IA70" s="193"/>
      <c r="IB70" s="193"/>
      <c r="IC70" s="193"/>
      <c r="ID70" s="193"/>
      <c r="IE70" s="193"/>
      <c r="IF70" s="193"/>
      <c r="IG70" s="193"/>
      <c r="IH70" s="193"/>
      <c r="II70" s="193"/>
      <c r="IJ70" s="193"/>
      <c r="IK70" s="193"/>
      <c r="IL70" s="193"/>
      <c r="IM70" s="193"/>
      <c r="IN70" s="193"/>
      <c r="IO70" s="193"/>
      <c r="IP70" s="193"/>
      <c r="IQ70" s="193"/>
      <c r="IR70" s="193"/>
      <c r="IS70" s="193"/>
      <c r="IT70" s="193"/>
      <c r="IU70" s="193"/>
      <c r="IV70" s="193"/>
    </row>
    <row r="71" spans="1:256" s="209" customFormat="1" ht="16.5" customHeight="1" x14ac:dyDescent="0.2">
      <c r="A71" s="702" t="s">
        <v>585</v>
      </c>
      <c r="B71" s="212"/>
      <c r="C71" s="212"/>
      <c r="D71" s="212"/>
      <c r="E71" s="212"/>
      <c r="F71" s="212"/>
      <c r="G71" s="212"/>
      <c r="H71" s="777"/>
      <c r="I71" s="777"/>
      <c r="J71" s="777"/>
      <c r="K71" s="777"/>
      <c r="L71" s="777"/>
      <c r="M71" s="777"/>
      <c r="N71" s="777"/>
      <c r="O71" s="777"/>
      <c r="P71" s="777"/>
      <c r="Q71" s="777"/>
      <c r="R71" s="777"/>
      <c r="S71" s="777"/>
      <c r="T71" s="777"/>
      <c r="U71" s="777"/>
      <c r="V71" s="777"/>
      <c r="W71" s="777"/>
      <c r="X71" s="777"/>
      <c r="Y71" s="777"/>
      <c r="Z71" s="777"/>
      <c r="AA71" s="211"/>
      <c r="AB71" s="211"/>
      <c r="AC71" s="211"/>
      <c r="AD71" s="211"/>
      <c r="AE71" s="211"/>
      <c r="AF71" s="211"/>
      <c r="AG71" s="211"/>
      <c r="AH71" s="211"/>
      <c r="AI71" s="211"/>
      <c r="AJ71" s="211"/>
      <c r="AK71" s="211"/>
      <c r="AL71" s="211"/>
      <c r="AM71" s="211"/>
      <c r="AN71" s="211"/>
      <c r="AO71" s="211"/>
      <c r="AP71" s="211"/>
      <c r="AQ71" s="211"/>
      <c r="AR71" s="211"/>
      <c r="AS71" s="211"/>
      <c r="AT71" s="211"/>
      <c r="AU71" s="211"/>
      <c r="AV71" s="211"/>
      <c r="AW71" s="211"/>
      <c r="AX71" s="211"/>
      <c r="AY71" s="211"/>
      <c r="AZ71" s="211"/>
      <c r="BA71" s="211"/>
      <c r="BB71" s="211"/>
      <c r="BC71" s="211"/>
      <c r="BD71" s="211"/>
      <c r="BE71" s="211"/>
      <c r="BF71" s="211"/>
      <c r="BG71" s="211"/>
      <c r="BH71" s="211"/>
      <c r="BI71" s="211"/>
      <c r="BJ71" s="211"/>
      <c r="BK71" s="211"/>
      <c r="BL71" s="211"/>
      <c r="BM71" s="211"/>
      <c r="BN71" s="211"/>
      <c r="BO71" s="211"/>
      <c r="BP71" s="211"/>
      <c r="BQ71" s="211"/>
      <c r="BR71" s="211"/>
      <c r="BS71" s="211"/>
      <c r="BT71" s="211"/>
      <c r="BU71" s="211"/>
      <c r="BV71" s="211"/>
      <c r="BW71" s="211"/>
      <c r="BX71" s="211"/>
      <c r="BY71" s="211"/>
      <c r="BZ71" s="211"/>
      <c r="CA71" s="211"/>
      <c r="CB71" s="211"/>
      <c r="CC71" s="211"/>
      <c r="CD71" s="211"/>
      <c r="CE71" s="211"/>
      <c r="CF71" s="211"/>
      <c r="CG71" s="211"/>
      <c r="CH71" s="211"/>
      <c r="CI71" s="211"/>
      <c r="CJ71" s="211"/>
      <c r="CK71" s="211"/>
      <c r="CL71" s="211"/>
      <c r="CM71" s="211"/>
      <c r="CN71" s="211"/>
      <c r="CO71" s="211"/>
      <c r="CP71" s="211"/>
      <c r="CQ71" s="211"/>
      <c r="CR71" s="211"/>
      <c r="CS71" s="211"/>
      <c r="CT71" s="211"/>
      <c r="CU71" s="211"/>
      <c r="CV71" s="211"/>
      <c r="CW71" s="211"/>
      <c r="CX71" s="211"/>
      <c r="CY71" s="211"/>
      <c r="CZ71" s="211"/>
      <c r="DA71" s="211"/>
      <c r="DB71" s="211"/>
      <c r="DC71" s="211"/>
      <c r="DD71" s="211"/>
      <c r="DE71" s="211"/>
      <c r="DF71" s="211"/>
      <c r="DG71" s="211"/>
      <c r="DH71" s="211"/>
      <c r="DI71" s="211"/>
      <c r="DJ71" s="211"/>
      <c r="DK71" s="211"/>
      <c r="DL71" s="211"/>
      <c r="DM71" s="211"/>
      <c r="DN71" s="211"/>
      <c r="DO71" s="211"/>
      <c r="DP71" s="211"/>
      <c r="DQ71" s="211"/>
      <c r="DR71" s="211"/>
      <c r="DS71" s="211"/>
      <c r="DT71" s="211"/>
      <c r="DU71" s="211"/>
      <c r="DV71" s="211"/>
      <c r="DW71" s="211"/>
      <c r="DX71" s="211"/>
      <c r="DY71" s="211"/>
      <c r="DZ71" s="211"/>
      <c r="EA71" s="211"/>
      <c r="EB71" s="211"/>
      <c r="EC71" s="211"/>
      <c r="ED71" s="211"/>
      <c r="EE71" s="211"/>
      <c r="EF71" s="211"/>
      <c r="EG71" s="211"/>
      <c r="EH71" s="211"/>
      <c r="EI71" s="211"/>
      <c r="EJ71" s="211"/>
      <c r="EK71" s="211"/>
      <c r="EL71" s="211"/>
      <c r="EM71" s="211"/>
      <c r="EN71" s="211"/>
      <c r="EO71" s="211"/>
      <c r="EP71" s="211"/>
      <c r="EQ71" s="211"/>
      <c r="ER71" s="211"/>
      <c r="ES71" s="211"/>
      <c r="ET71" s="211"/>
      <c r="EU71" s="211"/>
      <c r="EV71" s="211"/>
      <c r="EW71" s="211"/>
      <c r="EX71" s="211"/>
      <c r="EY71" s="211"/>
      <c r="EZ71" s="211"/>
      <c r="FA71" s="211"/>
      <c r="FB71" s="211"/>
      <c r="FC71" s="211"/>
      <c r="FD71" s="211"/>
      <c r="FE71" s="211"/>
      <c r="FF71" s="211"/>
      <c r="FG71" s="211"/>
      <c r="FH71" s="211"/>
      <c r="FI71" s="211"/>
      <c r="FJ71" s="211"/>
      <c r="FK71" s="211"/>
      <c r="FL71" s="211"/>
      <c r="FM71" s="211"/>
      <c r="FN71" s="211"/>
      <c r="FO71" s="211"/>
      <c r="FP71" s="211"/>
      <c r="FQ71" s="211"/>
      <c r="FR71" s="211"/>
      <c r="FS71" s="211"/>
      <c r="FT71" s="211"/>
      <c r="FU71" s="211"/>
      <c r="FV71" s="211"/>
      <c r="FW71" s="211"/>
      <c r="FX71" s="211"/>
      <c r="FY71" s="211"/>
      <c r="FZ71" s="211"/>
      <c r="GA71" s="211"/>
      <c r="GB71" s="211"/>
      <c r="GC71" s="211"/>
      <c r="GD71" s="211"/>
      <c r="GE71" s="211"/>
      <c r="GF71" s="211"/>
      <c r="GG71" s="211"/>
      <c r="GH71" s="211"/>
      <c r="GI71" s="211"/>
      <c r="GJ71" s="211"/>
      <c r="GK71" s="211"/>
      <c r="GL71" s="211"/>
      <c r="GM71" s="211"/>
      <c r="GN71" s="211"/>
      <c r="GO71" s="211"/>
      <c r="GP71" s="211"/>
      <c r="GQ71" s="211"/>
      <c r="GR71" s="211"/>
      <c r="GS71" s="211"/>
      <c r="GT71" s="211"/>
      <c r="GU71" s="211"/>
      <c r="GV71" s="211"/>
      <c r="GW71" s="211"/>
      <c r="GX71" s="211"/>
      <c r="GY71" s="211"/>
      <c r="GZ71" s="211"/>
      <c r="HA71" s="211"/>
      <c r="HB71" s="211"/>
      <c r="HC71" s="211"/>
      <c r="HD71" s="211"/>
      <c r="HE71" s="211"/>
      <c r="HF71" s="211"/>
      <c r="HG71" s="211"/>
      <c r="HH71" s="211"/>
      <c r="HI71" s="211"/>
      <c r="HJ71" s="211"/>
      <c r="HK71" s="211"/>
      <c r="HL71" s="211"/>
      <c r="HM71" s="211"/>
      <c r="HN71" s="211"/>
      <c r="HO71" s="211"/>
      <c r="HP71" s="211"/>
      <c r="HQ71" s="211"/>
      <c r="HR71" s="211"/>
      <c r="HS71" s="211"/>
      <c r="HT71" s="211"/>
      <c r="HU71" s="211"/>
      <c r="HV71" s="211"/>
      <c r="HW71" s="211"/>
      <c r="HX71" s="211"/>
      <c r="HY71" s="211"/>
      <c r="HZ71" s="211"/>
      <c r="IA71" s="211"/>
      <c r="IB71" s="211"/>
      <c r="IC71" s="211"/>
      <c r="ID71" s="211"/>
      <c r="IE71" s="211"/>
      <c r="IF71" s="211"/>
      <c r="IG71" s="211"/>
      <c r="IH71" s="211"/>
      <c r="II71" s="211"/>
      <c r="IJ71" s="211"/>
      <c r="IK71" s="211"/>
      <c r="IL71" s="211"/>
      <c r="IM71" s="211"/>
      <c r="IN71" s="211"/>
      <c r="IO71" s="211"/>
      <c r="IP71" s="211"/>
      <c r="IQ71" s="211"/>
      <c r="IR71" s="211"/>
      <c r="IS71" s="211"/>
      <c r="IT71" s="211"/>
      <c r="IU71" s="211"/>
      <c r="IV71" s="211"/>
    </row>
    <row r="72" spans="1:256" s="209" customFormat="1" ht="16.5" customHeight="1" x14ac:dyDescent="0.2">
      <c r="A72" s="702" t="s">
        <v>82</v>
      </c>
      <c r="B72" s="212"/>
      <c r="C72" s="212"/>
      <c r="D72" s="212"/>
      <c r="E72" s="212"/>
      <c r="F72" s="212"/>
      <c r="G72" s="212"/>
      <c r="H72" s="777"/>
      <c r="I72" s="777"/>
      <c r="J72" s="777"/>
      <c r="K72" s="777"/>
      <c r="L72" s="777"/>
      <c r="M72" s="777"/>
      <c r="N72" s="777"/>
      <c r="O72" s="777"/>
      <c r="P72" s="777"/>
      <c r="Q72" s="777"/>
      <c r="R72" s="777"/>
      <c r="S72" s="777"/>
      <c r="T72" s="777"/>
      <c r="U72" s="777"/>
      <c r="V72" s="777"/>
      <c r="W72" s="777"/>
      <c r="X72" s="777"/>
      <c r="Y72" s="777"/>
      <c r="Z72" s="777"/>
      <c r="AA72" s="211"/>
      <c r="AB72" s="211"/>
      <c r="AC72" s="211"/>
      <c r="AD72" s="211"/>
      <c r="AE72" s="211"/>
      <c r="AF72" s="211"/>
      <c r="AG72" s="211"/>
      <c r="AH72" s="211"/>
      <c r="AI72" s="211"/>
      <c r="AJ72" s="211"/>
      <c r="AK72" s="211"/>
      <c r="AL72" s="211"/>
      <c r="AM72" s="211"/>
      <c r="AN72" s="211"/>
      <c r="AO72" s="211"/>
      <c r="AP72" s="211"/>
      <c r="AQ72" s="211"/>
      <c r="AR72" s="211"/>
      <c r="AS72" s="211"/>
      <c r="AT72" s="211"/>
      <c r="AU72" s="211"/>
      <c r="AV72" s="211"/>
      <c r="AW72" s="211"/>
      <c r="AX72" s="211"/>
      <c r="AY72" s="211"/>
      <c r="AZ72" s="211"/>
      <c r="BA72" s="211"/>
      <c r="BB72" s="211"/>
      <c r="BC72" s="211"/>
      <c r="BD72" s="211"/>
      <c r="BE72" s="211"/>
      <c r="BF72" s="211"/>
      <c r="BG72" s="211"/>
      <c r="BH72" s="211"/>
      <c r="BI72" s="211"/>
      <c r="BJ72" s="211"/>
      <c r="BK72" s="211"/>
      <c r="BL72" s="211"/>
      <c r="BM72" s="211"/>
      <c r="BN72" s="211"/>
      <c r="BO72" s="211"/>
      <c r="BP72" s="211"/>
      <c r="BQ72" s="211"/>
      <c r="BR72" s="211"/>
      <c r="BS72" s="211"/>
      <c r="BT72" s="211"/>
      <c r="BU72" s="211"/>
      <c r="BV72" s="211"/>
      <c r="BW72" s="211"/>
      <c r="BX72" s="211"/>
      <c r="BY72" s="211"/>
      <c r="BZ72" s="211"/>
      <c r="CA72" s="211"/>
      <c r="CB72" s="211"/>
      <c r="CC72" s="211"/>
      <c r="CD72" s="211"/>
      <c r="CE72" s="211"/>
      <c r="CF72" s="211"/>
      <c r="CG72" s="211"/>
      <c r="CH72" s="211"/>
      <c r="CI72" s="211"/>
      <c r="CJ72" s="211"/>
      <c r="CK72" s="211"/>
      <c r="CL72" s="211"/>
      <c r="CM72" s="211"/>
      <c r="CN72" s="211"/>
      <c r="CO72" s="211"/>
      <c r="CP72" s="211"/>
      <c r="CQ72" s="211"/>
      <c r="CR72" s="211"/>
      <c r="CS72" s="211"/>
      <c r="CT72" s="211"/>
      <c r="CU72" s="211"/>
      <c r="CV72" s="211"/>
      <c r="CW72" s="211"/>
      <c r="CX72" s="211"/>
      <c r="CY72" s="211"/>
      <c r="CZ72" s="211"/>
      <c r="DA72" s="211"/>
      <c r="DB72" s="211"/>
      <c r="DC72" s="211"/>
      <c r="DD72" s="211"/>
      <c r="DE72" s="211"/>
      <c r="DF72" s="211"/>
      <c r="DG72" s="211"/>
      <c r="DH72" s="211"/>
      <c r="DI72" s="211"/>
      <c r="DJ72" s="211"/>
      <c r="DK72" s="211"/>
      <c r="DL72" s="211"/>
      <c r="DM72" s="211"/>
      <c r="DN72" s="211"/>
      <c r="DO72" s="211"/>
      <c r="DP72" s="211"/>
      <c r="DQ72" s="211"/>
      <c r="DR72" s="211"/>
      <c r="DS72" s="211"/>
      <c r="DT72" s="211"/>
      <c r="DU72" s="211"/>
      <c r="DV72" s="211"/>
      <c r="DW72" s="211"/>
      <c r="DX72" s="211"/>
      <c r="DY72" s="211"/>
      <c r="DZ72" s="211"/>
      <c r="EA72" s="211"/>
      <c r="EB72" s="211"/>
      <c r="EC72" s="211"/>
      <c r="ED72" s="211"/>
      <c r="EE72" s="211"/>
      <c r="EF72" s="211"/>
      <c r="EG72" s="211"/>
      <c r="EH72" s="211"/>
      <c r="EI72" s="211"/>
      <c r="EJ72" s="211"/>
      <c r="EK72" s="211"/>
      <c r="EL72" s="211"/>
      <c r="EM72" s="211"/>
      <c r="EN72" s="211"/>
      <c r="EO72" s="211"/>
      <c r="EP72" s="211"/>
      <c r="EQ72" s="211"/>
      <c r="ER72" s="211"/>
      <c r="ES72" s="211"/>
      <c r="ET72" s="211"/>
      <c r="EU72" s="211"/>
      <c r="EV72" s="211"/>
      <c r="EW72" s="211"/>
      <c r="EX72" s="211"/>
      <c r="EY72" s="211"/>
      <c r="EZ72" s="211"/>
      <c r="FA72" s="211"/>
      <c r="FB72" s="211"/>
      <c r="FC72" s="211"/>
      <c r="FD72" s="211"/>
      <c r="FE72" s="211"/>
      <c r="FF72" s="211"/>
      <c r="FG72" s="211"/>
      <c r="FH72" s="211"/>
      <c r="FI72" s="211"/>
      <c r="FJ72" s="211"/>
      <c r="FK72" s="211"/>
      <c r="FL72" s="211"/>
      <c r="FM72" s="211"/>
      <c r="FN72" s="211"/>
      <c r="FO72" s="211"/>
      <c r="FP72" s="211"/>
      <c r="FQ72" s="211"/>
      <c r="FR72" s="211"/>
      <c r="FS72" s="211"/>
      <c r="FT72" s="211"/>
      <c r="FU72" s="211"/>
      <c r="FV72" s="211"/>
      <c r="FW72" s="211"/>
      <c r="FX72" s="211"/>
      <c r="FY72" s="211"/>
      <c r="FZ72" s="211"/>
      <c r="GA72" s="211"/>
      <c r="GB72" s="211"/>
      <c r="GC72" s="211"/>
      <c r="GD72" s="211"/>
      <c r="GE72" s="211"/>
      <c r="GF72" s="211"/>
      <c r="GG72" s="211"/>
      <c r="GH72" s="211"/>
      <c r="GI72" s="211"/>
      <c r="GJ72" s="211"/>
      <c r="GK72" s="211"/>
      <c r="GL72" s="211"/>
      <c r="GM72" s="211"/>
      <c r="GN72" s="211"/>
      <c r="GO72" s="211"/>
      <c r="GP72" s="211"/>
      <c r="GQ72" s="211"/>
      <c r="GR72" s="211"/>
      <c r="GS72" s="211"/>
      <c r="GT72" s="211"/>
      <c r="GU72" s="211"/>
      <c r="GV72" s="211"/>
      <c r="GW72" s="211"/>
      <c r="GX72" s="211"/>
      <c r="GY72" s="211"/>
      <c r="GZ72" s="211"/>
      <c r="HA72" s="211"/>
      <c r="HB72" s="211"/>
      <c r="HC72" s="211"/>
      <c r="HD72" s="211"/>
      <c r="HE72" s="211"/>
      <c r="HF72" s="211"/>
      <c r="HG72" s="211"/>
      <c r="HH72" s="211"/>
      <c r="HI72" s="211"/>
      <c r="HJ72" s="211"/>
      <c r="HK72" s="211"/>
      <c r="HL72" s="211"/>
      <c r="HM72" s="211"/>
      <c r="HN72" s="211"/>
      <c r="HO72" s="211"/>
      <c r="HP72" s="211"/>
      <c r="HQ72" s="211"/>
      <c r="HR72" s="211"/>
      <c r="HS72" s="211"/>
      <c r="HT72" s="211"/>
      <c r="HU72" s="211"/>
      <c r="HV72" s="211"/>
      <c r="HW72" s="211"/>
      <c r="HX72" s="211"/>
      <c r="HY72" s="211"/>
      <c r="HZ72" s="211"/>
      <c r="IA72" s="211"/>
      <c r="IB72" s="211"/>
      <c r="IC72" s="211"/>
      <c r="ID72" s="211"/>
      <c r="IE72" s="211"/>
      <c r="IF72" s="211"/>
      <c r="IG72" s="211"/>
      <c r="IH72" s="211"/>
      <c r="II72" s="211"/>
      <c r="IJ72" s="211"/>
      <c r="IK72" s="211"/>
      <c r="IL72" s="211"/>
      <c r="IM72" s="211"/>
      <c r="IN72" s="211"/>
      <c r="IO72" s="211"/>
      <c r="IP72" s="211"/>
      <c r="IQ72" s="211"/>
      <c r="IR72" s="211"/>
      <c r="IS72" s="211"/>
      <c r="IT72" s="211"/>
      <c r="IU72" s="211"/>
      <c r="IV72" s="211"/>
    </row>
    <row r="73" spans="1:256" s="492" customFormat="1" ht="16.5" customHeight="1" x14ac:dyDescent="0.2">
      <c r="A73" s="208"/>
      <c r="B73" s="468" t="s">
        <v>493</v>
      </c>
      <c r="C73" s="269"/>
      <c r="D73" s="269"/>
      <c r="E73" s="269"/>
      <c r="F73" s="269"/>
      <c r="G73" s="269"/>
      <c r="H73" s="677"/>
      <c r="I73" s="677"/>
      <c r="J73" s="677"/>
      <c r="K73" s="677"/>
      <c r="L73" s="677"/>
      <c r="M73" s="677"/>
      <c r="N73" s="677"/>
      <c r="O73" s="677"/>
      <c r="P73" s="677"/>
      <c r="Q73" s="677"/>
      <c r="R73" s="677"/>
      <c r="S73" s="677"/>
      <c r="T73" s="677"/>
      <c r="U73" s="677"/>
      <c r="V73" s="677"/>
      <c r="W73" s="677"/>
      <c r="X73" s="677"/>
      <c r="Y73" s="677"/>
      <c r="Z73" s="677"/>
      <c r="AA73" s="193"/>
      <c r="AB73" s="193"/>
      <c r="AC73" s="193"/>
      <c r="AD73" s="193"/>
      <c r="AE73" s="193"/>
      <c r="AF73" s="193"/>
      <c r="AG73" s="193"/>
      <c r="AH73" s="193"/>
      <c r="AI73" s="193"/>
      <c r="AJ73" s="193"/>
      <c r="AK73" s="193"/>
      <c r="AL73" s="193"/>
      <c r="AM73" s="193"/>
      <c r="AN73" s="193"/>
      <c r="AO73" s="193"/>
      <c r="AP73" s="193"/>
      <c r="AQ73" s="193"/>
      <c r="AR73" s="193"/>
      <c r="AS73" s="193"/>
      <c r="AT73" s="193"/>
      <c r="AU73" s="193"/>
      <c r="AV73" s="193"/>
      <c r="AW73" s="193"/>
      <c r="AX73" s="193"/>
      <c r="AY73" s="193"/>
      <c r="AZ73" s="193"/>
      <c r="BA73" s="193"/>
      <c r="BB73" s="193"/>
      <c r="BC73" s="193"/>
      <c r="BD73" s="193"/>
      <c r="BE73" s="193"/>
      <c r="BF73" s="193"/>
      <c r="BG73" s="193"/>
      <c r="BH73" s="193"/>
      <c r="BI73" s="193"/>
      <c r="BJ73" s="193"/>
      <c r="BK73" s="193"/>
      <c r="BL73" s="193"/>
      <c r="BM73" s="193"/>
      <c r="BN73" s="193"/>
      <c r="BO73" s="193"/>
      <c r="BP73" s="193"/>
      <c r="BQ73" s="193"/>
      <c r="BR73" s="193"/>
      <c r="BS73" s="193"/>
      <c r="BT73" s="193"/>
      <c r="BU73" s="193"/>
      <c r="BV73" s="193"/>
      <c r="BW73" s="193"/>
      <c r="BX73" s="193"/>
      <c r="BY73" s="193"/>
      <c r="BZ73" s="193"/>
      <c r="CA73" s="193"/>
      <c r="CB73" s="193"/>
      <c r="CC73" s="193"/>
      <c r="CD73" s="193"/>
      <c r="CE73" s="193"/>
      <c r="CF73" s="193"/>
      <c r="CG73" s="193"/>
      <c r="CH73" s="193"/>
      <c r="CI73" s="193"/>
      <c r="CJ73" s="193"/>
      <c r="CK73" s="193"/>
      <c r="CL73" s="193"/>
      <c r="CM73" s="193"/>
      <c r="CN73" s="193"/>
      <c r="CO73" s="193"/>
      <c r="CP73" s="193"/>
      <c r="CQ73" s="193"/>
      <c r="CR73" s="193"/>
      <c r="CS73" s="193"/>
      <c r="CT73" s="193"/>
      <c r="CU73" s="193"/>
      <c r="CV73" s="193"/>
      <c r="CW73" s="193"/>
      <c r="CX73" s="193"/>
      <c r="CY73" s="193"/>
      <c r="CZ73" s="193"/>
      <c r="DA73" s="193"/>
      <c r="DB73" s="193"/>
      <c r="DC73" s="193"/>
      <c r="DD73" s="193"/>
      <c r="DE73" s="193"/>
      <c r="DF73" s="193"/>
      <c r="DG73" s="193"/>
      <c r="DH73" s="193"/>
      <c r="DI73" s="193"/>
      <c r="DJ73" s="193"/>
      <c r="DK73" s="193"/>
      <c r="DL73" s="193"/>
      <c r="DM73" s="193"/>
      <c r="DN73" s="193"/>
      <c r="DO73" s="193"/>
      <c r="DP73" s="193"/>
      <c r="DQ73" s="193"/>
      <c r="DR73" s="193"/>
      <c r="DS73" s="193"/>
      <c r="DT73" s="193"/>
      <c r="DU73" s="193"/>
      <c r="DV73" s="193"/>
      <c r="DW73" s="193"/>
      <c r="DX73" s="193"/>
      <c r="DY73" s="193"/>
      <c r="DZ73" s="193"/>
      <c r="EA73" s="193"/>
      <c r="EB73" s="193"/>
      <c r="EC73" s="193"/>
      <c r="ED73" s="193"/>
      <c r="EE73" s="193"/>
      <c r="EF73" s="193"/>
      <c r="EG73" s="193"/>
      <c r="EH73" s="193"/>
      <c r="EI73" s="193"/>
      <c r="EJ73" s="193"/>
      <c r="EK73" s="193"/>
      <c r="EL73" s="193"/>
      <c r="EM73" s="193"/>
      <c r="EN73" s="193"/>
      <c r="EO73" s="193"/>
      <c r="EP73" s="193"/>
      <c r="EQ73" s="193"/>
      <c r="ER73" s="193"/>
      <c r="ES73" s="193"/>
      <c r="ET73" s="193"/>
      <c r="EU73" s="193"/>
      <c r="EV73" s="193"/>
      <c r="EW73" s="193"/>
      <c r="EX73" s="193"/>
      <c r="EY73" s="193"/>
      <c r="EZ73" s="193"/>
      <c r="FA73" s="193"/>
      <c r="FB73" s="193"/>
      <c r="FC73" s="193"/>
      <c r="FD73" s="193"/>
      <c r="FE73" s="193"/>
      <c r="FF73" s="193"/>
      <c r="FG73" s="193"/>
      <c r="FH73" s="193"/>
      <c r="FI73" s="193"/>
      <c r="FJ73" s="193"/>
      <c r="FK73" s="193"/>
      <c r="FL73" s="193"/>
      <c r="FM73" s="193"/>
      <c r="FN73" s="193"/>
      <c r="FO73" s="193"/>
      <c r="FP73" s="193"/>
      <c r="FQ73" s="193"/>
      <c r="FR73" s="193"/>
      <c r="FS73" s="193"/>
      <c r="FT73" s="193"/>
      <c r="FU73" s="193"/>
      <c r="FV73" s="193"/>
      <c r="FW73" s="193"/>
      <c r="FX73" s="193"/>
      <c r="FY73" s="193"/>
      <c r="FZ73" s="193"/>
      <c r="GA73" s="193"/>
      <c r="GB73" s="193"/>
      <c r="GC73" s="193"/>
      <c r="GD73" s="193"/>
      <c r="GE73" s="193"/>
      <c r="GF73" s="193"/>
      <c r="GG73" s="193"/>
      <c r="GH73" s="193"/>
      <c r="GI73" s="193"/>
      <c r="GJ73" s="193"/>
      <c r="GK73" s="193"/>
      <c r="GL73" s="193"/>
      <c r="GM73" s="193"/>
      <c r="GN73" s="193"/>
      <c r="GO73" s="193"/>
      <c r="GP73" s="193"/>
      <c r="GQ73" s="193"/>
      <c r="GR73" s="193"/>
      <c r="GS73" s="193"/>
      <c r="GT73" s="193"/>
      <c r="GU73" s="193"/>
      <c r="GV73" s="193"/>
      <c r="GW73" s="193"/>
      <c r="GX73" s="193"/>
      <c r="GY73" s="193"/>
      <c r="GZ73" s="193"/>
      <c r="HA73" s="193"/>
      <c r="HB73" s="193"/>
      <c r="HC73" s="193"/>
      <c r="HD73" s="193"/>
      <c r="HE73" s="193"/>
      <c r="HF73" s="193"/>
      <c r="HG73" s="193"/>
      <c r="HH73" s="193"/>
      <c r="HI73" s="193"/>
      <c r="HJ73" s="193"/>
      <c r="HK73" s="193"/>
      <c r="HL73" s="193"/>
      <c r="HM73" s="193"/>
      <c r="HN73" s="193"/>
      <c r="HO73" s="193"/>
      <c r="HP73" s="193"/>
      <c r="HQ73" s="193"/>
      <c r="HR73" s="193"/>
      <c r="HS73" s="193"/>
      <c r="HT73" s="193"/>
      <c r="HU73" s="193"/>
      <c r="HV73" s="193"/>
      <c r="HW73" s="193"/>
      <c r="HX73" s="193"/>
      <c r="HY73" s="193"/>
      <c r="HZ73" s="193"/>
      <c r="IA73" s="193"/>
      <c r="IB73" s="193"/>
      <c r="IC73" s="193"/>
      <c r="ID73" s="193"/>
      <c r="IE73" s="193"/>
      <c r="IF73" s="193"/>
      <c r="IG73" s="193"/>
      <c r="IH73" s="193"/>
      <c r="II73" s="193"/>
      <c r="IJ73" s="193"/>
      <c r="IK73" s="193"/>
      <c r="IL73" s="193"/>
      <c r="IM73" s="193"/>
      <c r="IN73" s="193"/>
      <c r="IO73" s="193"/>
      <c r="IP73" s="193"/>
      <c r="IQ73" s="193"/>
      <c r="IR73" s="193"/>
      <c r="IS73" s="193"/>
      <c r="IT73" s="193"/>
      <c r="IU73" s="193"/>
      <c r="IV73" s="193"/>
    </row>
    <row r="74" spans="1:256" s="492" customFormat="1" ht="16.5" customHeight="1" x14ac:dyDescent="0.2">
      <c r="A74" s="246" t="s">
        <v>241</v>
      </c>
      <c r="B74" s="58">
        <f>'Common-size FS'!B9</f>
        <v>2010</v>
      </c>
      <c r="C74" s="58">
        <f>B74+1</f>
        <v>2011</v>
      </c>
      <c r="D74" s="58">
        <f>C74+1</f>
        <v>2012</v>
      </c>
      <c r="E74" s="58">
        <f>D74+1</f>
        <v>2013</v>
      </c>
      <c r="F74" s="58">
        <f>E74+1</f>
        <v>2014</v>
      </c>
      <c r="G74" s="58">
        <f>F74+1</f>
        <v>2015</v>
      </c>
      <c r="H74" s="677"/>
      <c r="I74" s="677"/>
      <c r="J74" s="677"/>
      <c r="K74" s="677"/>
      <c r="L74" s="677"/>
      <c r="M74" s="677"/>
      <c r="N74" s="677"/>
      <c r="O74" s="677"/>
      <c r="P74" s="677"/>
      <c r="Q74" s="677"/>
      <c r="R74" s="677"/>
      <c r="S74" s="677"/>
      <c r="T74" s="677"/>
      <c r="U74" s="677"/>
      <c r="V74" s="677"/>
      <c r="W74" s="677"/>
      <c r="X74" s="677"/>
      <c r="Y74" s="677"/>
      <c r="Z74" s="677"/>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c r="BE74" s="193"/>
      <c r="BF74" s="193"/>
      <c r="BG74" s="193"/>
      <c r="BH74" s="193"/>
      <c r="BI74" s="193"/>
      <c r="BJ74" s="193"/>
      <c r="BK74" s="193"/>
      <c r="BL74" s="193"/>
      <c r="BM74" s="193"/>
      <c r="BN74" s="193"/>
      <c r="BO74" s="193"/>
      <c r="BP74" s="193"/>
      <c r="BQ74" s="193"/>
      <c r="BR74" s="193"/>
      <c r="BS74" s="193"/>
      <c r="BT74" s="193"/>
      <c r="BU74" s="193"/>
      <c r="BV74" s="193"/>
      <c r="BW74" s="193"/>
      <c r="BX74" s="193"/>
      <c r="BY74" s="193"/>
      <c r="BZ74" s="193"/>
      <c r="CA74" s="193"/>
      <c r="CB74" s="193"/>
      <c r="CC74" s="193"/>
      <c r="CD74" s="193"/>
      <c r="CE74" s="193"/>
      <c r="CF74" s="193"/>
      <c r="CG74" s="193"/>
      <c r="CH74" s="193"/>
      <c r="CI74" s="193"/>
      <c r="CJ74" s="193"/>
      <c r="CK74" s="193"/>
      <c r="CL74" s="193"/>
      <c r="CM74" s="193"/>
      <c r="CN74" s="193"/>
      <c r="CO74" s="193"/>
      <c r="CP74" s="193"/>
      <c r="CQ74" s="193"/>
      <c r="CR74" s="193"/>
      <c r="CS74" s="193"/>
      <c r="CT74" s="193"/>
      <c r="CU74" s="193"/>
      <c r="CV74" s="193"/>
      <c r="CW74" s="193"/>
      <c r="CX74" s="193"/>
      <c r="CY74" s="193"/>
      <c r="CZ74" s="193"/>
      <c r="DA74" s="193"/>
      <c r="DB74" s="193"/>
      <c r="DC74" s="193"/>
      <c r="DD74" s="193"/>
      <c r="DE74" s="193"/>
      <c r="DF74" s="193"/>
      <c r="DG74" s="193"/>
      <c r="DH74" s="193"/>
      <c r="DI74" s="193"/>
      <c r="DJ74" s="193"/>
      <c r="DK74" s="193"/>
      <c r="DL74" s="193"/>
      <c r="DM74" s="193"/>
      <c r="DN74" s="193"/>
      <c r="DO74" s="193"/>
      <c r="DP74" s="193"/>
      <c r="DQ74" s="193"/>
      <c r="DR74" s="193"/>
      <c r="DS74" s="193"/>
      <c r="DT74" s="193"/>
      <c r="DU74" s="193"/>
      <c r="DV74" s="193"/>
      <c r="DW74" s="193"/>
      <c r="DX74" s="193"/>
      <c r="DY74" s="193"/>
      <c r="DZ74" s="193"/>
      <c r="EA74" s="193"/>
      <c r="EB74" s="193"/>
      <c r="EC74" s="193"/>
      <c r="ED74" s="193"/>
      <c r="EE74" s="193"/>
      <c r="EF74" s="193"/>
      <c r="EG74" s="193"/>
      <c r="EH74" s="193"/>
      <c r="EI74" s="193"/>
      <c r="EJ74" s="193"/>
      <c r="EK74" s="193"/>
      <c r="EL74" s="193"/>
      <c r="EM74" s="193"/>
      <c r="EN74" s="193"/>
      <c r="EO74" s="193"/>
      <c r="EP74" s="193"/>
      <c r="EQ74" s="193"/>
      <c r="ER74" s="193"/>
      <c r="ES74" s="193"/>
      <c r="ET74" s="193"/>
      <c r="EU74" s="193"/>
      <c r="EV74" s="193"/>
      <c r="EW74" s="193"/>
      <c r="EX74" s="193"/>
      <c r="EY74" s="193"/>
      <c r="EZ74" s="193"/>
      <c r="FA74" s="193"/>
      <c r="FB74" s="193"/>
      <c r="FC74" s="193"/>
      <c r="FD74" s="193"/>
      <c r="FE74" s="193"/>
      <c r="FF74" s="193"/>
      <c r="FG74" s="193"/>
      <c r="FH74" s="193"/>
      <c r="FI74" s="193"/>
      <c r="FJ74" s="193"/>
      <c r="FK74" s="193"/>
      <c r="FL74" s="193"/>
      <c r="FM74" s="193"/>
      <c r="FN74" s="193"/>
      <c r="FO74" s="193"/>
      <c r="FP74" s="193"/>
      <c r="FQ74" s="193"/>
      <c r="FR74" s="193"/>
      <c r="FS74" s="193"/>
      <c r="FT74" s="193"/>
      <c r="FU74" s="193"/>
      <c r="FV74" s="193"/>
      <c r="FW74" s="193"/>
      <c r="FX74" s="193"/>
      <c r="FY74" s="193"/>
      <c r="FZ74" s="193"/>
      <c r="GA74" s="193"/>
      <c r="GB74" s="193"/>
      <c r="GC74" s="193"/>
      <c r="GD74" s="193"/>
      <c r="GE74" s="193"/>
      <c r="GF74" s="193"/>
      <c r="GG74" s="193"/>
      <c r="GH74" s="193"/>
      <c r="GI74" s="193"/>
      <c r="GJ74" s="193"/>
      <c r="GK74" s="193"/>
      <c r="GL74" s="193"/>
      <c r="GM74" s="193"/>
      <c r="GN74" s="193"/>
      <c r="GO74" s="193"/>
      <c r="GP74" s="193"/>
      <c r="GQ74" s="193"/>
      <c r="GR74" s="193"/>
      <c r="GS74" s="193"/>
      <c r="GT74" s="193"/>
      <c r="GU74" s="193"/>
      <c r="GV74" s="193"/>
      <c r="GW74" s="193"/>
      <c r="GX74" s="193"/>
      <c r="GY74" s="193"/>
      <c r="GZ74" s="193"/>
      <c r="HA74" s="193"/>
      <c r="HB74" s="193"/>
      <c r="HC74" s="193"/>
      <c r="HD74" s="193"/>
      <c r="HE74" s="193"/>
      <c r="HF74" s="193"/>
      <c r="HG74" s="193"/>
      <c r="HH74" s="193"/>
      <c r="HI74" s="193"/>
      <c r="HJ74" s="193"/>
      <c r="HK74" s="193"/>
      <c r="HL74" s="193"/>
      <c r="HM74" s="193"/>
      <c r="HN74" s="193"/>
      <c r="HO74" s="193"/>
      <c r="HP74" s="193"/>
      <c r="HQ74" s="193"/>
      <c r="HR74" s="193"/>
      <c r="HS74" s="193"/>
      <c r="HT74" s="193"/>
      <c r="HU74" s="193"/>
      <c r="HV74" s="193"/>
      <c r="HW74" s="193"/>
      <c r="HX74" s="193"/>
      <c r="HY74" s="193"/>
      <c r="HZ74" s="193"/>
      <c r="IA74" s="193"/>
      <c r="IB74" s="193"/>
      <c r="IC74" s="193"/>
      <c r="ID74" s="193"/>
      <c r="IE74" s="193"/>
      <c r="IF74" s="193"/>
      <c r="IG74" s="193"/>
      <c r="IH74" s="193"/>
      <c r="II74" s="193"/>
      <c r="IJ74" s="193"/>
      <c r="IK74" s="193"/>
      <c r="IL74" s="193"/>
      <c r="IM74" s="193"/>
      <c r="IN74" s="193"/>
      <c r="IO74" s="193"/>
      <c r="IP74" s="193"/>
      <c r="IQ74" s="193"/>
      <c r="IR74" s="193"/>
      <c r="IS74" s="193"/>
      <c r="IT74" s="193"/>
      <c r="IU74" s="193"/>
      <c r="IV74" s="193"/>
    </row>
    <row r="75" spans="1:256" s="492" customFormat="1" ht="16.5" customHeight="1" x14ac:dyDescent="0.2">
      <c r="A75" s="41" t="str">
        <f>'Common-size FS'!A71</f>
        <v>Sales, net returns and allowances</v>
      </c>
      <c r="B75" s="418">
        <f>'Common-size FS'!B71</f>
        <v>9700</v>
      </c>
      <c r="C75" s="418">
        <f>'Common-size FS'!C71</f>
        <v>10877</v>
      </c>
      <c r="D75" s="418">
        <f>'Common-size FS'!D71</f>
        <v>12148</v>
      </c>
      <c r="E75" s="418">
        <f>'Common-size FS'!E71</f>
        <v>12540</v>
      </c>
      <c r="F75" s="418">
        <f>'Common-size FS'!F71</f>
        <v>13506</v>
      </c>
      <c r="G75" s="418">
        <f>'Common-size FS'!G71</f>
        <v>14373</v>
      </c>
      <c r="H75" s="677"/>
      <c r="I75" s="677"/>
      <c r="J75" s="677"/>
      <c r="K75" s="677"/>
      <c r="L75" s="677"/>
      <c r="M75" s="677"/>
      <c r="N75" s="677"/>
      <c r="O75" s="677"/>
      <c r="P75" s="677"/>
      <c r="Q75" s="677"/>
      <c r="R75" s="677"/>
      <c r="S75" s="677"/>
      <c r="T75" s="677"/>
      <c r="U75" s="677"/>
      <c r="V75" s="677"/>
      <c r="W75" s="677"/>
      <c r="X75" s="677"/>
      <c r="Y75" s="677"/>
      <c r="Z75" s="677"/>
      <c r="AA75" s="193"/>
      <c r="AB75" s="193"/>
      <c r="AC75" s="193"/>
      <c r="AD75" s="193"/>
      <c r="AE75" s="193"/>
      <c r="AF75" s="193"/>
      <c r="AG75" s="193"/>
      <c r="AH75" s="193"/>
      <c r="AI75" s="193"/>
      <c r="AJ75" s="193"/>
      <c r="AK75" s="193"/>
      <c r="AL75" s="193"/>
      <c r="AM75" s="193"/>
      <c r="AN75" s="193"/>
      <c r="AO75" s="193"/>
      <c r="AP75" s="193"/>
      <c r="AQ75" s="193"/>
      <c r="AR75" s="193"/>
      <c r="AS75" s="193"/>
      <c r="AT75" s="193"/>
      <c r="AU75" s="193"/>
      <c r="AV75" s="193"/>
      <c r="AW75" s="193"/>
      <c r="AX75" s="193"/>
      <c r="AY75" s="193"/>
      <c r="AZ75" s="193"/>
      <c r="BA75" s="193"/>
      <c r="BB75" s="193"/>
      <c r="BC75" s="193"/>
      <c r="BD75" s="193"/>
      <c r="BE75" s="193"/>
      <c r="BF75" s="193"/>
      <c r="BG75" s="193"/>
      <c r="BH75" s="193"/>
      <c r="BI75" s="193"/>
      <c r="BJ75" s="193"/>
      <c r="BK75" s="193"/>
      <c r="BL75" s="193"/>
      <c r="BM75" s="193"/>
      <c r="BN75" s="193"/>
      <c r="BO75" s="193"/>
      <c r="BP75" s="193"/>
      <c r="BQ75" s="193"/>
      <c r="BR75" s="193"/>
      <c r="BS75" s="193"/>
      <c r="BT75" s="193"/>
      <c r="BU75" s="193"/>
      <c r="BV75" s="193"/>
      <c r="BW75" s="193"/>
      <c r="BX75" s="193"/>
      <c r="BY75" s="193"/>
      <c r="BZ75" s="193"/>
      <c r="CA75" s="193"/>
      <c r="CB75" s="193"/>
      <c r="CC75" s="193"/>
      <c r="CD75" s="193"/>
      <c r="CE75" s="193"/>
      <c r="CF75" s="193"/>
      <c r="CG75" s="193"/>
      <c r="CH75" s="193"/>
      <c r="CI75" s="193"/>
      <c r="CJ75" s="193"/>
      <c r="CK75" s="193"/>
      <c r="CL75" s="193"/>
      <c r="CM75" s="193"/>
      <c r="CN75" s="193"/>
      <c r="CO75" s="193"/>
      <c r="CP75" s="193"/>
      <c r="CQ75" s="193"/>
      <c r="CR75" s="193"/>
      <c r="CS75" s="193"/>
      <c r="CT75" s="193"/>
      <c r="CU75" s="193"/>
      <c r="CV75" s="193"/>
      <c r="CW75" s="193"/>
      <c r="CX75" s="193"/>
      <c r="CY75" s="193"/>
      <c r="CZ75" s="193"/>
      <c r="DA75" s="193"/>
      <c r="DB75" s="193"/>
      <c r="DC75" s="193"/>
      <c r="DD75" s="193"/>
      <c r="DE75" s="193"/>
      <c r="DF75" s="193"/>
      <c r="DG75" s="193"/>
      <c r="DH75" s="193"/>
      <c r="DI75" s="193"/>
      <c r="DJ75" s="193"/>
      <c r="DK75" s="193"/>
      <c r="DL75" s="193"/>
      <c r="DM75" s="193"/>
      <c r="DN75" s="193"/>
      <c r="DO75" s="193"/>
      <c r="DP75" s="193"/>
      <c r="DQ75" s="193"/>
      <c r="DR75" s="193"/>
      <c r="DS75" s="193"/>
      <c r="DT75" s="193"/>
      <c r="DU75" s="193"/>
      <c r="DV75" s="193"/>
      <c r="DW75" s="193"/>
      <c r="DX75" s="193"/>
      <c r="DY75" s="193"/>
      <c r="DZ75" s="193"/>
      <c r="EA75" s="193"/>
      <c r="EB75" s="193"/>
      <c r="EC75" s="193"/>
      <c r="ED75" s="193"/>
      <c r="EE75" s="193"/>
      <c r="EF75" s="193"/>
      <c r="EG75" s="193"/>
      <c r="EH75" s="193"/>
      <c r="EI75" s="193"/>
      <c r="EJ75" s="193"/>
      <c r="EK75" s="193"/>
      <c r="EL75" s="193"/>
      <c r="EM75" s="193"/>
      <c r="EN75" s="193"/>
      <c r="EO75" s="193"/>
      <c r="EP75" s="193"/>
      <c r="EQ75" s="193"/>
      <c r="ER75" s="193"/>
      <c r="ES75" s="193"/>
      <c r="ET75" s="193"/>
      <c r="EU75" s="193"/>
      <c r="EV75" s="193"/>
      <c r="EW75" s="193"/>
      <c r="EX75" s="193"/>
      <c r="EY75" s="193"/>
      <c r="EZ75" s="193"/>
      <c r="FA75" s="193"/>
      <c r="FB75" s="193"/>
      <c r="FC75" s="193"/>
      <c r="FD75" s="193"/>
      <c r="FE75" s="193"/>
      <c r="FF75" s="193"/>
      <c r="FG75" s="193"/>
      <c r="FH75" s="193"/>
      <c r="FI75" s="193"/>
      <c r="FJ75" s="193"/>
      <c r="FK75" s="193"/>
      <c r="FL75" s="193"/>
      <c r="FM75" s="193"/>
      <c r="FN75" s="193"/>
      <c r="FO75" s="193"/>
      <c r="FP75" s="193"/>
      <c r="FQ75" s="193"/>
      <c r="FR75" s="193"/>
      <c r="FS75" s="193"/>
      <c r="FT75" s="193"/>
      <c r="FU75" s="193"/>
      <c r="FV75" s="193"/>
      <c r="FW75" s="193"/>
      <c r="FX75" s="193"/>
      <c r="FY75" s="193"/>
      <c r="FZ75" s="193"/>
      <c r="GA75" s="193"/>
      <c r="GB75" s="193"/>
      <c r="GC75" s="193"/>
      <c r="GD75" s="193"/>
      <c r="GE75" s="193"/>
      <c r="GF75" s="193"/>
      <c r="GG75" s="193"/>
      <c r="GH75" s="193"/>
      <c r="GI75" s="193"/>
      <c r="GJ75" s="193"/>
      <c r="GK75" s="193"/>
      <c r="GL75" s="193"/>
      <c r="GM75" s="193"/>
      <c r="GN75" s="193"/>
      <c r="GO75" s="193"/>
      <c r="GP75" s="193"/>
      <c r="GQ75" s="193"/>
      <c r="GR75" s="193"/>
      <c r="GS75" s="193"/>
      <c r="GT75" s="193"/>
      <c r="GU75" s="193"/>
      <c r="GV75" s="193"/>
      <c r="GW75" s="193"/>
      <c r="GX75" s="193"/>
      <c r="GY75" s="193"/>
      <c r="GZ75" s="193"/>
      <c r="HA75" s="193"/>
      <c r="HB75" s="193"/>
      <c r="HC75" s="193"/>
      <c r="HD75" s="193"/>
      <c r="HE75" s="193"/>
      <c r="HF75" s="193"/>
      <c r="HG75" s="193"/>
      <c r="HH75" s="193"/>
      <c r="HI75" s="193"/>
      <c r="HJ75" s="193"/>
      <c r="HK75" s="193"/>
      <c r="HL75" s="193"/>
      <c r="HM75" s="193"/>
      <c r="HN75" s="193"/>
      <c r="HO75" s="193"/>
      <c r="HP75" s="193"/>
      <c r="HQ75" s="193"/>
      <c r="HR75" s="193"/>
      <c r="HS75" s="193"/>
      <c r="HT75" s="193"/>
      <c r="HU75" s="193"/>
      <c r="HV75" s="193"/>
      <c r="HW75" s="193"/>
      <c r="HX75" s="193"/>
      <c r="HY75" s="193"/>
      <c r="HZ75" s="193"/>
      <c r="IA75" s="193"/>
      <c r="IB75" s="193"/>
      <c r="IC75" s="193"/>
      <c r="ID75" s="193"/>
      <c r="IE75" s="193"/>
      <c r="IF75" s="193"/>
      <c r="IG75" s="193"/>
      <c r="IH75" s="193"/>
      <c r="II75" s="193"/>
      <c r="IJ75" s="193"/>
      <c r="IK75" s="193"/>
      <c r="IL75" s="193"/>
      <c r="IM75" s="193"/>
      <c r="IN75" s="193"/>
      <c r="IO75" s="193"/>
      <c r="IP75" s="193"/>
      <c r="IQ75" s="193"/>
      <c r="IR75" s="193"/>
      <c r="IS75" s="193"/>
      <c r="IT75" s="193"/>
      <c r="IU75" s="193"/>
      <c r="IV75" s="193"/>
    </row>
    <row r="76" spans="1:256" s="493" customFormat="1" ht="16.5" customHeight="1" x14ac:dyDescent="0.2">
      <c r="A76" s="266" t="str">
        <f>'Common-size FS'!A72</f>
        <v xml:space="preserve"> COS (LOCOM, retail average cost)</v>
      </c>
      <c r="B76" s="71">
        <f>'Common-size FS'!B72</f>
        <v>5897</v>
      </c>
      <c r="C76" s="71">
        <f>'Common-size FS'!C72</f>
        <v>6633</v>
      </c>
      <c r="D76" s="71">
        <f>'Common-size FS'!D72</f>
        <v>7515</v>
      </c>
      <c r="E76" s="71">
        <f>'Common-size FS'!E72</f>
        <v>7789</v>
      </c>
      <c r="F76" s="71">
        <f>'Common-size FS'!F72</f>
        <v>8490</v>
      </c>
      <c r="G76" s="71">
        <f>'Common-size FS'!G72</f>
        <v>9293</v>
      </c>
      <c r="H76" s="724"/>
      <c r="I76" s="724"/>
      <c r="J76" s="724"/>
      <c r="K76" s="724"/>
      <c r="L76" s="724"/>
      <c r="M76" s="724"/>
      <c r="N76" s="724"/>
      <c r="O76" s="724"/>
      <c r="P76" s="724"/>
      <c r="Q76" s="724"/>
      <c r="R76" s="724"/>
      <c r="S76" s="724"/>
      <c r="T76" s="724"/>
      <c r="U76" s="724"/>
      <c r="V76" s="724"/>
      <c r="W76" s="724"/>
      <c r="X76" s="724"/>
      <c r="Y76" s="724"/>
      <c r="Z76" s="724"/>
      <c r="AA76" s="227"/>
      <c r="AB76" s="227"/>
      <c r="AC76" s="227"/>
      <c r="AD76" s="227"/>
      <c r="AE76" s="227"/>
      <c r="AF76" s="227"/>
      <c r="AG76" s="227"/>
      <c r="AH76" s="227"/>
      <c r="AI76" s="227"/>
      <c r="AJ76" s="227"/>
      <c r="AK76" s="227"/>
      <c r="AL76" s="227"/>
      <c r="AM76" s="227"/>
      <c r="AN76" s="227"/>
      <c r="AO76" s="227"/>
      <c r="AP76" s="227"/>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227"/>
      <c r="BZ76" s="227"/>
      <c r="CA76" s="227"/>
      <c r="CB76" s="227"/>
      <c r="CC76" s="227"/>
      <c r="CD76" s="227"/>
      <c r="CE76" s="227"/>
      <c r="CF76" s="227"/>
      <c r="CG76" s="227"/>
      <c r="CH76" s="227"/>
      <c r="CI76" s="227"/>
      <c r="CJ76" s="227"/>
      <c r="CK76" s="227"/>
      <c r="CL76" s="227"/>
      <c r="CM76" s="227"/>
      <c r="CN76" s="227"/>
      <c r="CO76" s="227"/>
      <c r="CP76" s="227"/>
      <c r="CQ76" s="227"/>
      <c r="CR76" s="227"/>
      <c r="CS76" s="227"/>
      <c r="CT76" s="227"/>
      <c r="CU76" s="227"/>
      <c r="CV76" s="227"/>
      <c r="CW76" s="227"/>
      <c r="CX76" s="227"/>
      <c r="CY76" s="227"/>
      <c r="CZ76" s="227"/>
      <c r="DA76" s="227"/>
      <c r="DB76" s="227"/>
      <c r="DC76" s="227"/>
      <c r="DD76" s="227"/>
      <c r="DE76" s="227"/>
      <c r="DF76" s="227"/>
      <c r="DG76" s="227"/>
      <c r="DH76" s="227"/>
      <c r="DI76" s="227"/>
      <c r="DJ76" s="227"/>
      <c r="DK76" s="227"/>
      <c r="DL76" s="227"/>
      <c r="DM76" s="227"/>
      <c r="DN76" s="227"/>
      <c r="DO76" s="227"/>
      <c r="DP76" s="227"/>
      <c r="DQ76" s="227"/>
      <c r="DR76" s="227"/>
      <c r="DS76" s="227"/>
      <c r="DT76" s="227"/>
      <c r="DU76" s="227"/>
      <c r="DV76" s="227"/>
      <c r="DW76" s="227"/>
      <c r="DX76" s="227"/>
      <c r="DY76" s="227"/>
      <c r="DZ76" s="227"/>
      <c r="EA76" s="227"/>
      <c r="EB76" s="227"/>
      <c r="EC76" s="227"/>
      <c r="ED76" s="227"/>
      <c r="EE76" s="227"/>
      <c r="EF76" s="227"/>
      <c r="EG76" s="227"/>
      <c r="EH76" s="227"/>
      <c r="EI76" s="227"/>
      <c r="EJ76" s="227"/>
      <c r="EK76" s="227"/>
      <c r="EL76" s="227"/>
      <c r="EM76" s="227"/>
      <c r="EN76" s="227"/>
      <c r="EO76" s="227"/>
      <c r="EP76" s="227"/>
      <c r="EQ76" s="227"/>
      <c r="ER76" s="227"/>
      <c r="ES76" s="227"/>
      <c r="ET76" s="227"/>
      <c r="EU76" s="227"/>
      <c r="EV76" s="227"/>
      <c r="EW76" s="227"/>
      <c r="EX76" s="227"/>
      <c r="EY76" s="227"/>
      <c r="EZ76" s="227"/>
      <c r="FA76" s="227"/>
      <c r="FB76" s="227"/>
      <c r="FC76" s="227"/>
      <c r="FD76" s="227"/>
      <c r="FE76" s="227"/>
      <c r="FF76" s="227"/>
      <c r="FG76" s="227"/>
      <c r="FH76" s="227"/>
      <c r="FI76" s="227"/>
      <c r="FJ76" s="227"/>
      <c r="FK76" s="227"/>
      <c r="FL76" s="227"/>
      <c r="FM76" s="227"/>
      <c r="FN76" s="227"/>
      <c r="FO76" s="227"/>
      <c r="FP76" s="227"/>
      <c r="FQ76" s="227"/>
      <c r="FR76" s="227"/>
      <c r="FS76" s="227"/>
      <c r="FT76" s="227"/>
      <c r="FU76" s="227"/>
      <c r="FV76" s="227"/>
      <c r="FW76" s="227"/>
      <c r="FX76" s="227"/>
      <c r="FY76" s="227"/>
      <c r="FZ76" s="227"/>
      <c r="GA76" s="227"/>
      <c r="GB76" s="227"/>
      <c r="GC76" s="227"/>
      <c r="GD76" s="227"/>
      <c r="GE76" s="227"/>
      <c r="GF76" s="227"/>
      <c r="GG76" s="227"/>
      <c r="GH76" s="227"/>
      <c r="GI76" s="227"/>
      <c r="GJ76" s="227"/>
      <c r="GK76" s="227"/>
      <c r="GL76" s="227"/>
      <c r="GM76" s="227"/>
      <c r="GN76" s="227"/>
      <c r="GO76" s="227"/>
      <c r="GP76" s="227"/>
      <c r="GQ76" s="227"/>
      <c r="GR76" s="227"/>
      <c r="GS76" s="227"/>
      <c r="GT76" s="227"/>
      <c r="GU76" s="227"/>
      <c r="GV76" s="227"/>
      <c r="GW76" s="227"/>
      <c r="GX76" s="227"/>
      <c r="GY76" s="227"/>
      <c r="GZ76" s="227"/>
      <c r="HA76" s="227"/>
      <c r="HB76" s="227"/>
      <c r="HC76" s="227"/>
      <c r="HD76" s="227"/>
      <c r="HE76" s="227"/>
      <c r="HF76" s="227"/>
      <c r="HG76" s="227"/>
      <c r="HH76" s="227"/>
      <c r="HI76" s="227"/>
      <c r="HJ76" s="227"/>
      <c r="HK76" s="227"/>
      <c r="HL76" s="227"/>
      <c r="HM76" s="227"/>
      <c r="HN76" s="227"/>
      <c r="HO76" s="227"/>
      <c r="HP76" s="227"/>
      <c r="HQ76" s="227"/>
      <c r="HR76" s="227"/>
      <c r="HS76" s="227"/>
      <c r="HT76" s="227"/>
      <c r="HU76" s="227"/>
      <c r="HV76" s="227"/>
      <c r="HW76" s="227"/>
      <c r="HX76" s="227"/>
      <c r="HY76" s="227"/>
      <c r="HZ76" s="227"/>
      <c r="IA76" s="227"/>
      <c r="IB76" s="227"/>
      <c r="IC76" s="227"/>
      <c r="ID76" s="227"/>
      <c r="IE76" s="227"/>
      <c r="IF76" s="227"/>
      <c r="IG76" s="227"/>
      <c r="IH76" s="227"/>
      <c r="II76" s="227"/>
      <c r="IJ76" s="227"/>
      <c r="IK76" s="227"/>
      <c r="IL76" s="227"/>
      <c r="IM76" s="227"/>
      <c r="IN76" s="227"/>
      <c r="IO76" s="227"/>
      <c r="IP76" s="227"/>
      <c r="IQ76" s="227"/>
      <c r="IR76" s="227"/>
      <c r="IS76" s="227"/>
      <c r="IT76" s="227"/>
      <c r="IU76" s="227"/>
      <c r="IV76" s="227"/>
    </row>
    <row r="77" spans="1:256" s="492" customFormat="1" ht="16.5" customHeight="1" x14ac:dyDescent="0.2">
      <c r="A77" s="2" t="str">
        <f>'Common-size FS'!A73</f>
        <v>Gross profit</v>
      </c>
      <c r="B77" s="4">
        <f>'Common-size FS'!B73</f>
        <v>3803</v>
      </c>
      <c r="C77" s="4">
        <f>'Common-size FS'!C73</f>
        <v>4244</v>
      </c>
      <c r="D77" s="4">
        <f>'Common-size FS'!D73</f>
        <v>4633</v>
      </c>
      <c r="E77" s="4">
        <f>'Common-size FS'!E73</f>
        <v>4751</v>
      </c>
      <c r="F77" s="4">
        <f>'Common-size FS'!F73</f>
        <v>5016</v>
      </c>
      <c r="G77" s="4">
        <f>'Common-size FS'!G73</f>
        <v>5080</v>
      </c>
      <c r="H77" s="677"/>
      <c r="I77" s="677"/>
      <c r="J77" s="677"/>
      <c r="K77" s="677"/>
      <c r="L77" s="677"/>
      <c r="M77" s="677"/>
      <c r="N77" s="677"/>
      <c r="O77" s="677"/>
      <c r="P77" s="677"/>
      <c r="Q77" s="677"/>
      <c r="R77" s="677"/>
      <c r="S77" s="677"/>
      <c r="T77" s="677"/>
      <c r="U77" s="677"/>
      <c r="V77" s="677"/>
      <c r="W77" s="677"/>
      <c r="X77" s="677"/>
      <c r="Y77" s="677"/>
      <c r="Z77" s="677"/>
      <c r="AA77" s="19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c r="BE77" s="193"/>
      <c r="BF77" s="193"/>
      <c r="BG77" s="193"/>
      <c r="BH77" s="193"/>
      <c r="BI77" s="193"/>
      <c r="BJ77" s="193"/>
      <c r="BK77" s="193"/>
      <c r="BL77" s="193"/>
      <c r="BM77" s="193"/>
      <c r="BN77" s="193"/>
      <c r="BO77" s="193"/>
      <c r="BP77" s="193"/>
      <c r="BQ77" s="193"/>
      <c r="BR77" s="193"/>
      <c r="BS77" s="193"/>
      <c r="BT77" s="193"/>
      <c r="BU77" s="193"/>
      <c r="BV77" s="193"/>
      <c r="BW77" s="193"/>
      <c r="BX77" s="193"/>
      <c r="BY77" s="193"/>
      <c r="BZ77" s="193"/>
      <c r="CA77" s="193"/>
      <c r="CB77" s="193"/>
      <c r="CC77" s="193"/>
      <c r="CD77" s="193"/>
      <c r="CE77" s="193"/>
      <c r="CF77" s="193"/>
      <c r="CG77" s="193"/>
      <c r="CH77" s="193"/>
      <c r="CI77" s="193"/>
      <c r="CJ77" s="193"/>
      <c r="CK77" s="193"/>
      <c r="CL77" s="193"/>
      <c r="CM77" s="193"/>
      <c r="CN77" s="193"/>
      <c r="CO77" s="193"/>
      <c r="CP77" s="193"/>
      <c r="CQ77" s="193"/>
      <c r="CR77" s="193"/>
      <c r="CS77" s="193"/>
      <c r="CT77" s="193"/>
      <c r="CU77" s="193"/>
      <c r="CV77" s="193"/>
      <c r="CW77" s="193"/>
      <c r="CX77" s="193"/>
      <c r="CY77" s="193"/>
      <c r="CZ77" s="193"/>
      <c r="DA77" s="193"/>
      <c r="DB77" s="193"/>
      <c r="DC77" s="193"/>
      <c r="DD77" s="193"/>
      <c r="DE77" s="193"/>
      <c r="DF77" s="193"/>
      <c r="DG77" s="193"/>
      <c r="DH77" s="193"/>
      <c r="DI77" s="193"/>
      <c r="DJ77" s="193"/>
      <c r="DK77" s="193"/>
      <c r="DL77" s="193"/>
      <c r="DM77" s="193"/>
      <c r="DN77" s="193"/>
      <c r="DO77" s="193"/>
      <c r="DP77" s="193"/>
      <c r="DQ77" s="193"/>
      <c r="DR77" s="193"/>
      <c r="DS77" s="193"/>
      <c r="DT77" s="193"/>
      <c r="DU77" s="193"/>
      <c r="DV77" s="193"/>
      <c r="DW77" s="193"/>
      <c r="DX77" s="193"/>
      <c r="DY77" s="193"/>
      <c r="DZ77" s="193"/>
      <c r="EA77" s="193"/>
      <c r="EB77" s="193"/>
      <c r="EC77" s="193"/>
      <c r="ED77" s="193"/>
      <c r="EE77" s="193"/>
      <c r="EF77" s="193"/>
      <c r="EG77" s="193"/>
      <c r="EH77" s="193"/>
      <c r="EI77" s="193"/>
      <c r="EJ77" s="193"/>
      <c r="EK77" s="193"/>
      <c r="EL77" s="193"/>
      <c r="EM77" s="193"/>
      <c r="EN77" s="193"/>
      <c r="EO77" s="193"/>
      <c r="EP77" s="193"/>
      <c r="EQ77" s="193"/>
      <c r="ER77" s="193"/>
      <c r="ES77" s="193"/>
      <c r="ET77" s="193"/>
      <c r="EU77" s="193"/>
      <c r="EV77" s="193"/>
      <c r="EW77" s="193"/>
      <c r="EX77" s="193"/>
      <c r="EY77" s="193"/>
      <c r="EZ77" s="193"/>
      <c r="FA77" s="193"/>
      <c r="FB77" s="193"/>
      <c r="FC77" s="193"/>
      <c r="FD77" s="193"/>
      <c r="FE77" s="193"/>
      <c r="FF77" s="193"/>
      <c r="FG77" s="193"/>
      <c r="FH77" s="193"/>
      <c r="FI77" s="193"/>
      <c r="FJ77" s="193"/>
      <c r="FK77" s="193"/>
      <c r="FL77" s="193"/>
      <c r="FM77" s="193"/>
      <c r="FN77" s="193"/>
      <c r="FO77" s="193"/>
      <c r="FP77" s="193"/>
      <c r="FQ77" s="193"/>
      <c r="FR77" s="193"/>
      <c r="FS77" s="193"/>
      <c r="FT77" s="193"/>
      <c r="FU77" s="193"/>
      <c r="FV77" s="193"/>
      <c r="FW77" s="193"/>
      <c r="FX77" s="193"/>
      <c r="FY77" s="193"/>
      <c r="FZ77" s="193"/>
      <c r="GA77" s="193"/>
      <c r="GB77" s="193"/>
      <c r="GC77" s="193"/>
      <c r="GD77" s="193"/>
      <c r="GE77" s="193"/>
      <c r="GF77" s="193"/>
      <c r="GG77" s="193"/>
      <c r="GH77" s="193"/>
      <c r="GI77" s="193"/>
      <c r="GJ77" s="193"/>
      <c r="GK77" s="193"/>
      <c r="GL77" s="193"/>
      <c r="GM77" s="193"/>
      <c r="GN77" s="193"/>
      <c r="GO77" s="193"/>
      <c r="GP77" s="193"/>
      <c r="GQ77" s="193"/>
      <c r="GR77" s="193"/>
      <c r="GS77" s="193"/>
      <c r="GT77" s="193"/>
      <c r="GU77" s="193"/>
      <c r="GV77" s="193"/>
      <c r="GW77" s="193"/>
      <c r="GX77" s="193"/>
      <c r="GY77" s="193"/>
      <c r="GZ77" s="193"/>
      <c r="HA77" s="193"/>
      <c r="HB77" s="193"/>
      <c r="HC77" s="193"/>
      <c r="HD77" s="193"/>
      <c r="HE77" s="193"/>
      <c r="HF77" s="193"/>
      <c r="HG77" s="193"/>
      <c r="HH77" s="193"/>
      <c r="HI77" s="193"/>
      <c r="HJ77" s="193"/>
      <c r="HK77" s="193"/>
      <c r="HL77" s="193"/>
      <c r="HM77" s="193"/>
      <c r="HN77" s="193"/>
      <c r="HO77" s="193"/>
      <c r="HP77" s="193"/>
      <c r="HQ77" s="193"/>
      <c r="HR77" s="193"/>
      <c r="HS77" s="193"/>
      <c r="HT77" s="193"/>
      <c r="HU77" s="193"/>
      <c r="HV77" s="193"/>
      <c r="HW77" s="193"/>
      <c r="HX77" s="193"/>
      <c r="HY77" s="193"/>
      <c r="HZ77" s="193"/>
      <c r="IA77" s="193"/>
      <c r="IB77" s="193"/>
      <c r="IC77" s="193"/>
      <c r="ID77" s="193"/>
      <c r="IE77" s="193"/>
      <c r="IF77" s="193"/>
      <c r="IG77" s="193"/>
      <c r="IH77" s="193"/>
      <c r="II77" s="193"/>
      <c r="IJ77" s="193"/>
      <c r="IK77" s="193"/>
      <c r="IL77" s="193"/>
      <c r="IM77" s="193"/>
      <c r="IN77" s="193"/>
      <c r="IO77" s="193"/>
      <c r="IP77" s="193"/>
      <c r="IQ77" s="193"/>
      <c r="IR77" s="193"/>
      <c r="IS77" s="193"/>
      <c r="IT77" s="193"/>
      <c r="IU77" s="193"/>
      <c r="IV77" s="193"/>
    </row>
    <row r="78" spans="1:256" s="208" customFormat="1" ht="16.5" customHeight="1" x14ac:dyDescent="0.2">
      <c r="A78" s="25" t="str">
        <f>'Common-size FS'!A74</f>
        <v>Operating expenses</v>
      </c>
      <c r="B78" s="207"/>
      <c r="C78" s="207"/>
      <c r="D78" s="207"/>
      <c r="E78" s="207"/>
      <c r="F78" s="207"/>
      <c r="G78" s="207"/>
      <c r="H78" s="677"/>
      <c r="I78" s="677"/>
      <c r="J78" s="677"/>
      <c r="K78" s="677"/>
      <c r="L78" s="677"/>
      <c r="M78" s="677"/>
      <c r="N78" s="677"/>
      <c r="O78" s="677"/>
      <c r="P78" s="677"/>
      <c r="Q78" s="677"/>
      <c r="R78" s="677"/>
      <c r="S78" s="677"/>
      <c r="T78" s="677"/>
      <c r="U78" s="677"/>
      <c r="V78" s="677"/>
      <c r="W78" s="677"/>
      <c r="X78" s="677"/>
      <c r="Y78" s="677"/>
      <c r="Z78" s="677"/>
      <c r="AA78" s="193"/>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c r="BE78" s="193"/>
      <c r="BF78" s="193"/>
      <c r="BG78" s="193"/>
      <c r="BH78" s="193"/>
      <c r="BI78" s="193"/>
      <c r="BJ78" s="193"/>
      <c r="BK78" s="193"/>
      <c r="BL78" s="193"/>
      <c r="BM78" s="193"/>
      <c r="BN78" s="193"/>
      <c r="BO78" s="193"/>
      <c r="BP78" s="193"/>
      <c r="BQ78" s="193"/>
      <c r="BR78" s="193"/>
      <c r="BS78" s="193"/>
      <c r="BT78" s="193"/>
      <c r="BU78" s="193"/>
      <c r="BV78" s="193"/>
      <c r="BW78" s="193"/>
      <c r="BX78" s="193"/>
      <c r="BY78" s="193"/>
      <c r="BZ78" s="193"/>
      <c r="CA78" s="193"/>
      <c r="CB78" s="193"/>
      <c r="CC78" s="193"/>
      <c r="CD78" s="193"/>
      <c r="CE78" s="193"/>
      <c r="CF78" s="193"/>
      <c r="CG78" s="193"/>
      <c r="CH78" s="193"/>
      <c r="CI78" s="193"/>
      <c r="CJ78" s="193"/>
      <c r="CK78" s="193"/>
      <c r="CL78" s="193"/>
      <c r="CM78" s="193"/>
      <c r="CN78" s="193"/>
      <c r="CO78" s="193"/>
      <c r="CP78" s="193"/>
      <c r="CQ78" s="193"/>
      <c r="CR78" s="193"/>
      <c r="CS78" s="193"/>
      <c r="CT78" s="193"/>
      <c r="CU78" s="193"/>
      <c r="CV78" s="193"/>
      <c r="CW78" s="193"/>
      <c r="CX78" s="193"/>
      <c r="CY78" s="193"/>
      <c r="CZ78" s="193"/>
      <c r="DA78" s="193"/>
      <c r="DB78" s="193"/>
      <c r="DC78" s="193"/>
      <c r="DD78" s="193"/>
      <c r="DE78" s="193"/>
      <c r="DF78" s="193"/>
      <c r="DG78" s="193"/>
      <c r="DH78" s="193"/>
      <c r="DI78" s="193"/>
      <c r="DJ78" s="193"/>
      <c r="DK78" s="193"/>
      <c r="DL78" s="193"/>
      <c r="DM78" s="193"/>
      <c r="DN78" s="193"/>
      <c r="DO78" s="193"/>
      <c r="DP78" s="193"/>
      <c r="DQ78" s="193"/>
      <c r="DR78" s="193"/>
      <c r="DS78" s="193"/>
      <c r="DT78" s="193"/>
      <c r="DU78" s="193"/>
      <c r="DV78" s="193"/>
      <c r="DW78" s="193"/>
      <c r="DX78" s="193"/>
      <c r="DY78" s="193"/>
      <c r="DZ78" s="193"/>
      <c r="EA78" s="193"/>
      <c r="EB78" s="193"/>
      <c r="EC78" s="193"/>
      <c r="ED78" s="193"/>
      <c r="EE78" s="193"/>
      <c r="EF78" s="193"/>
      <c r="EG78" s="193"/>
      <c r="EH78" s="193"/>
      <c r="EI78" s="193"/>
      <c r="EJ78" s="193"/>
      <c r="EK78" s="193"/>
      <c r="EL78" s="193"/>
      <c r="EM78" s="193"/>
      <c r="EN78" s="193"/>
      <c r="EO78" s="193"/>
      <c r="EP78" s="193"/>
      <c r="EQ78" s="193"/>
      <c r="ER78" s="193"/>
      <c r="ES78" s="193"/>
      <c r="ET78" s="193"/>
      <c r="EU78" s="193"/>
      <c r="EV78" s="193"/>
      <c r="EW78" s="193"/>
      <c r="EX78" s="193"/>
      <c r="EY78" s="193"/>
      <c r="EZ78" s="193"/>
      <c r="FA78" s="193"/>
      <c r="FB78" s="193"/>
      <c r="FC78" s="193"/>
      <c r="FD78" s="193"/>
      <c r="FE78" s="193"/>
      <c r="FF78" s="193"/>
      <c r="FG78" s="193"/>
      <c r="FH78" s="193"/>
      <c r="FI78" s="193"/>
      <c r="FJ78" s="193"/>
      <c r="FK78" s="193"/>
      <c r="FL78" s="193"/>
      <c r="FM78" s="193"/>
      <c r="FN78" s="193"/>
      <c r="FO78" s="193"/>
      <c r="FP78" s="193"/>
      <c r="FQ78" s="193"/>
      <c r="FR78" s="193"/>
      <c r="FS78" s="193"/>
      <c r="FT78" s="193"/>
      <c r="FU78" s="193"/>
      <c r="FV78" s="193"/>
      <c r="FW78" s="193"/>
      <c r="FX78" s="193"/>
      <c r="FY78" s="193"/>
      <c r="FZ78" s="193"/>
      <c r="GA78" s="193"/>
      <c r="GB78" s="193"/>
      <c r="GC78" s="193"/>
      <c r="GD78" s="193"/>
      <c r="GE78" s="193"/>
      <c r="GF78" s="193"/>
      <c r="GG78" s="193"/>
      <c r="GH78" s="193"/>
      <c r="GI78" s="193"/>
      <c r="GJ78" s="193"/>
      <c r="GK78" s="193"/>
      <c r="GL78" s="193"/>
      <c r="GM78" s="193"/>
      <c r="GN78" s="193"/>
      <c r="GO78" s="193"/>
      <c r="GP78" s="193"/>
      <c r="GQ78" s="193"/>
      <c r="GR78" s="193"/>
      <c r="GS78" s="193"/>
      <c r="GT78" s="193"/>
      <c r="GU78" s="193"/>
      <c r="GV78" s="193"/>
      <c r="GW78" s="193"/>
      <c r="GX78" s="193"/>
      <c r="GY78" s="193"/>
      <c r="GZ78" s="193"/>
      <c r="HA78" s="193"/>
      <c r="HB78" s="193"/>
      <c r="HC78" s="193"/>
      <c r="HD78" s="193"/>
      <c r="HE78" s="193"/>
      <c r="HF78" s="193"/>
      <c r="HG78" s="193"/>
      <c r="HH78" s="193"/>
      <c r="HI78" s="193"/>
      <c r="HJ78" s="193"/>
      <c r="HK78" s="193"/>
      <c r="HL78" s="193"/>
      <c r="HM78" s="193"/>
      <c r="HN78" s="193"/>
      <c r="HO78" s="193"/>
      <c r="HP78" s="193"/>
      <c r="HQ78" s="193"/>
      <c r="HR78" s="193"/>
      <c r="HS78" s="193"/>
      <c r="HT78" s="193"/>
      <c r="HU78" s="193"/>
      <c r="HV78" s="193"/>
      <c r="HW78" s="193"/>
      <c r="HX78" s="193"/>
      <c r="HY78" s="193"/>
      <c r="HZ78" s="193"/>
      <c r="IA78" s="193"/>
      <c r="IB78" s="193"/>
      <c r="IC78" s="193"/>
      <c r="ID78" s="193"/>
      <c r="IE78" s="193"/>
      <c r="IF78" s="193"/>
      <c r="IG78" s="193"/>
      <c r="IH78" s="193"/>
      <c r="II78" s="193"/>
      <c r="IJ78" s="193"/>
      <c r="IK78" s="193"/>
      <c r="IL78" s="193"/>
      <c r="IM78" s="193"/>
      <c r="IN78" s="193"/>
      <c r="IO78" s="193"/>
      <c r="IP78" s="193"/>
      <c r="IQ78" s="193"/>
      <c r="IR78" s="193"/>
      <c r="IS78" s="193"/>
      <c r="IT78" s="193"/>
      <c r="IU78" s="193"/>
      <c r="IV78" s="193"/>
    </row>
    <row r="79" spans="1:256" s="224" customFormat="1" ht="16.5" customHeight="1" x14ac:dyDescent="0.2">
      <c r="A79" s="32" t="str">
        <f>'Common-size FS'!A75</f>
        <v>SG&amp;A expenses (excl D&amp;A and advertising)</v>
      </c>
      <c r="B79" s="32">
        <f>'Common-size FS'!B75</f>
        <v>2244</v>
      </c>
      <c r="C79" s="32">
        <f>'Common-size FS'!C75</f>
        <v>2394</v>
      </c>
      <c r="D79" s="32">
        <f>'Common-size FS'!D75</f>
        <v>2652</v>
      </c>
      <c r="E79" s="32">
        <f>'Common-size FS'!E75</f>
        <v>2672</v>
      </c>
      <c r="F79" s="32">
        <f>'Common-size FS'!F75</f>
        <v>2889</v>
      </c>
      <c r="G79" s="32">
        <f>'Common-size FS'!G75</f>
        <v>3121</v>
      </c>
      <c r="H79" s="718"/>
      <c r="I79" s="718"/>
      <c r="J79" s="718"/>
      <c r="K79" s="718"/>
      <c r="L79" s="718"/>
      <c r="M79" s="718"/>
      <c r="N79" s="718"/>
      <c r="O79" s="718"/>
      <c r="P79" s="718"/>
      <c r="Q79" s="718"/>
      <c r="R79" s="718"/>
      <c r="S79" s="718"/>
      <c r="T79" s="718"/>
      <c r="U79" s="718"/>
      <c r="V79" s="718"/>
      <c r="W79" s="718"/>
      <c r="X79" s="718"/>
      <c r="Y79" s="718"/>
      <c r="Z79" s="718"/>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96"/>
      <c r="DG79" s="96"/>
      <c r="DH79" s="96"/>
      <c r="DI79" s="96"/>
      <c r="DJ79" s="96"/>
      <c r="DK79" s="96"/>
      <c r="DL79" s="96"/>
      <c r="DM79" s="96"/>
      <c r="DN79" s="96"/>
      <c r="DO79" s="96"/>
      <c r="DP79" s="96"/>
      <c r="DQ79" s="96"/>
      <c r="DR79" s="96"/>
      <c r="DS79" s="96"/>
      <c r="DT79" s="96"/>
      <c r="DU79" s="96"/>
      <c r="DV79" s="96"/>
      <c r="DW79" s="96"/>
      <c r="DX79" s="96"/>
      <c r="DY79" s="96"/>
      <c r="DZ79" s="96"/>
      <c r="EA79" s="96"/>
      <c r="EB79" s="96"/>
      <c r="EC79" s="96"/>
      <c r="ED79" s="96"/>
      <c r="EE79" s="96"/>
      <c r="EF79" s="96"/>
      <c r="EG79" s="96"/>
      <c r="EH79" s="96"/>
      <c r="EI79" s="96"/>
      <c r="EJ79" s="96"/>
      <c r="EK79" s="96"/>
      <c r="EL79" s="96"/>
      <c r="EM79" s="96"/>
      <c r="EN79" s="96"/>
      <c r="EO79" s="96"/>
      <c r="EP79" s="96"/>
      <c r="EQ79" s="96"/>
      <c r="ER79" s="96"/>
      <c r="ES79" s="96"/>
      <c r="ET79" s="96"/>
      <c r="EU79" s="96"/>
      <c r="EV79" s="96"/>
      <c r="EW79" s="96"/>
      <c r="EX79" s="96"/>
      <c r="EY79" s="96"/>
      <c r="EZ79" s="96"/>
      <c r="FA79" s="96"/>
      <c r="FB79" s="96"/>
      <c r="FC79" s="96"/>
      <c r="FD79" s="96"/>
      <c r="FE79" s="96"/>
      <c r="FF79" s="96"/>
      <c r="FG79" s="96"/>
      <c r="FH79" s="96"/>
      <c r="FI79" s="96"/>
      <c r="FJ79" s="96"/>
      <c r="FK79" s="96"/>
      <c r="FL79" s="96"/>
      <c r="FM79" s="96"/>
      <c r="FN79" s="96"/>
      <c r="FO79" s="96"/>
      <c r="FP79" s="96"/>
      <c r="FQ79" s="96"/>
      <c r="FR79" s="96"/>
      <c r="FS79" s="96"/>
      <c r="FT79" s="96"/>
      <c r="FU79" s="96"/>
      <c r="FV79" s="96"/>
      <c r="FW79" s="96"/>
      <c r="FX79" s="96"/>
      <c r="FY79" s="96"/>
      <c r="FZ79" s="96"/>
      <c r="GA79" s="96"/>
      <c r="GB79" s="96"/>
      <c r="GC79" s="96"/>
      <c r="GD79" s="96"/>
      <c r="GE79" s="96"/>
      <c r="GF79" s="96"/>
      <c r="GG79" s="96"/>
      <c r="GH79" s="96"/>
      <c r="GI79" s="96"/>
      <c r="GJ79" s="96"/>
      <c r="GK79" s="96"/>
      <c r="GL79" s="96"/>
      <c r="GM79" s="96"/>
      <c r="GN79" s="96"/>
      <c r="GO79" s="96"/>
      <c r="GP79" s="96"/>
      <c r="GQ79" s="96"/>
      <c r="GR79" s="96"/>
      <c r="GS79" s="96"/>
      <c r="GT79" s="96"/>
      <c r="GU79" s="96"/>
      <c r="GV79" s="96"/>
      <c r="GW79" s="96"/>
      <c r="GX79" s="96"/>
      <c r="GY79" s="96"/>
      <c r="GZ79" s="96"/>
      <c r="HA79" s="96"/>
      <c r="HB79" s="96"/>
      <c r="HC79" s="96"/>
      <c r="HD79" s="96"/>
      <c r="HE79" s="96"/>
      <c r="HF79" s="96"/>
      <c r="HG79" s="96"/>
      <c r="HH79" s="96"/>
      <c r="HI79" s="96"/>
      <c r="HJ79" s="96"/>
      <c r="HK79" s="96"/>
      <c r="HL79" s="96"/>
      <c r="HM79" s="96"/>
      <c r="HN79" s="96"/>
      <c r="HO79" s="96"/>
      <c r="HP79" s="96"/>
      <c r="HQ79" s="96"/>
      <c r="HR79" s="96"/>
      <c r="HS79" s="96"/>
      <c r="HT79" s="96"/>
      <c r="HU79" s="96"/>
      <c r="HV79" s="96"/>
      <c r="HW79" s="96"/>
      <c r="HX79" s="96"/>
      <c r="HY79" s="96"/>
      <c r="HZ79" s="96"/>
      <c r="IA79" s="96"/>
      <c r="IB79" s="96"/>
      <c r="IC79" s="96"/>
      <c r="ID79" s="96"/>
      <c r="IE79" s="96"/>
      <c r="IF79" s="96"/>
      <c r="IG79" s="96"/>
      <c r="IH79" s="96"/>
      <c r="II79" s="96"/>
      <c r="IJ79" s="96"/>
      <c r="IK79" s="96"/>
      <c r="IL79" s="96"/>
      <c r="IM79" s="96"/>
      <c r="IN79" s="96"/>
      <c r="IO79" s="96"/>
      <c r="IP79" s="96"/>
      <c r="IQ79" s="96"/>
      <c r="IR79" s="96"/>
      <c r="IS79" s="96"/>
      <c r="IT79" s="96"/>
      <c r="IU79" s="96"/>
      <c r="IV79" s="96"/>
    </row>
    <row r="80" spans="1:256" s="224" customFormat="1" ht="16.5" customHeight="1" x14ac:dyDescent="0.2">
      <c r="A80" s="32" t="str">
        <f>'Common-size FS'!A76</f>
        <v>R&amp;D expense</v>
      </c>
      <c r="B80" s="32">
        <f>'Common-size FS'!B76</f>
        <v>0</v>
      </c>
      <c r="C80" s="32">
        <f>'Common-size FS'!C76</f>
        <v>0</v>
      </c>
      <c r="D80" s="32">
        <f>'Common-size FS'!D76</f>
        <v>0</v>
      </c>
      <c r="E80" s="32">
        <f>'Common-size FS'!E76</f>
        <v>0</v>
      </c>
      <c r="F80" s="32">
        <f>'Common-size FS'!F76</f>
        <v>0</v>
      </c>
      <c r="G80" s="32">
        <f>'Common-size FS'!G76</f>
        <v>0</v>
      </c>
      <c r="H80" s="718"/>
      <c r="I80" s="718"/>
      <c r="J80" s="718"/>
      <c r="K80" s="718"/>
      <c r="L80" s="718"/>
      <c r="M80" s="718"/>
      <c r="N80" s="718"/>
      <c r="O80" s="718"/>
      <c r="P80" s="718"/>
      <c r="Q80" s="718"/>
      <c r="R80" s="718"/>
      <c r="S80" s="718"/>
      <c r="T80" s="718"/>
      <c r="U80" s="718"/>
      <c r="V80" s="718"/>
      <c r="W80" s="718"/>
      <c r="X80" s="718"/>
      <c r="Y80" s="718"/>
      <c r="Z80" s="718"/>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c r="BN80" s="96"/>
      <c r="BO80" s="96"/>
      <c r="BP80" s="96"/>
      <c r="BQ80" s="96"/>
      <c r="BR80" s="96"/>
      <c r="BS80" s="96"/>
      <c r="BT80" s="96"/>
      <c r="BU80" s="96"/>
      <c r="BV80" s="96"/>
      <c r="BW80" s="96"/>
      <c r="BX80" s="96"/>
      <c r="BY80" s="96"/>
      <c r="BZ80" s="96"/>
      <c r="CA80" s="96"/>
      <c r="CB80" s="96"/>
      <c r="CC80" s="96"/>
      <c r="CD80" s="96"/>
      <c r="CE80" s="96"/>
      <c r="CF80" s="96"/>
      <c r="CG80" s="96"/>
      <c r="CH80" s="96"/>
      <c r="CI80" s="96"/>
      <c r="CJ80" s="96"/>
      <c r="CK80" s="96"/>
      <c r="CL80" s="96"/>
      <c r="CM80" s="96"/>
      <c r="CN80" s="96"/>
      <c r="CO80" s="96"/>
      <c r="CP80" s="96"/>
      <c r="CQ80" s="96"/>
      <c r="CR80" s="96"/>
      <c r="CS80" s="96"/>
      <c r="CT80" s="96"/>
      <c r="CU80" s="96"/>
      <c r="CV80" s="96"/>
      <c r="CW80" s="96"/>
      <c r="CX80" s="96"/>
      <c r="CY80" s="96"/>
      <c r="CZ80" s="96"/>
      <c r="DA80" s="96"/>
      <c r="DB80" s="96"/>
      <c r="DC80" s="96"/>
      <c r="DD80" s="96"/>
      <c r="DE80" s="96"/>
      <c r="DF80" s="96"/>
      <c r="DG80" s="96"/>
      <c r="DH80" s="96"/>
      <c r="DI80" s="96"/>
      <c r="DJ80" s="96"/>
      <c r="DK80" s="96"/>
      <c r="DL80" s="96"/>
      <c r="DM80" s="96"/>
      <c r="DN80" s="96"/>
      <c r="DO80" s="96"/>
      <c r="DP80" s="96"/>
      <c r="DQ80" s="96"/>
      <c r="DR80" s="96"/>
      <c r="DS80" s="96"/>
      <c r="DT80" s="96"/>
      <c r="DU80" s="96"/>
      <c r="DV80" s="96"/>
      <c r="DW80" s="96"/>
      <c r="DX80" s="96"/>
      <c r="DY80" s="96"/>
      <c r="DZ80" s="96"/>
      <c r="EA80" s="96"/>
      <c r="EB80" s="96"/>
      <c r="EC80" s="96"/>
      <c r="ED80" s="96"/>
      <c r="EE80" s="96"/>
      <c r="EF80" s="96"/>
      <c r="EG80" s="96"/>
      <c r="EH80" s="96"/>
      <c r="EI80" s="96"/>
      <c r="EJ80" s="96"/>
      <c r="EK80" s="96"/>
      <c r="EL80" s="96"/>
      <c r="EM80" s="96"/>
      <c r="EN80" s="96"/>
      <c r="EO80" s="96"/>
      <c r="EP80" s="96"/>
      <c r="EQ80" s="96"/>
      <c r="ER80" s="96"/>
      <c r="ES80" s="96"/>
      <c r="ET80" s="96"/>
      <c r="EU80" s="96"/>
      <c r="EV80" s="96"/>
      <c r="EW80" s="96"/>
      <c r="EX80" s="96"/>
      <c r="EY80" s="96"/>
      <c r="EZ80" s="96"/>
      <c r="FA80" s="96"/>
      <c r="FB80" s="96"/>
      <c r="FC80" s="96"/>
      <c r="FD80" s="96"/>
      <c r="FE80" s="96"/>
      <c r="FF80" s="96"/>
      <c r="FG80" s="96"/>
      <c r="FH80" s="96"/>
      <c r="FI80" s="96"/>
      <c r="FJ80" s="96"/>
      <c r="FK80" s="96"/>
      <c r="FL80" s="96"/>
      <c r="FM80" s="96"/>
      <c r="FN80" s="96"/>
      <c r="FO80" s="96"/>
      <c r="FP80" s="96"/>
      <c r="FQ80" s="96"/>
      <c r="FR80" s="96"/>
      <c r="FS80" s="96"/>
      <c r="FT80" s="96"/>
      <c r="FU80" s="96"/>
      <c r="FV80" s="96"/>
      <c r="FW80" s="96"/>
      <c r="FX80" s="96"/>
      <c r="FY80" s="96"/>
      <c r="FZ80" s="96"/>
      <c r="GA80" s="96"/>
      <c r="GB80" s="96"/>
      <c r="GC80" s="96"/>
      <c r="GD80" s="96"/>
      <c r="GE80" s="96"/>
      <c r="GF80" s="96"/>
      <c r="GG80" s="96"/>
      <c r="GH80" s="96"/>
      <c r="GI80" s="96"/>
      <c r="GJ80" s="96"/>
      <c r="GK80" s="96"/>
      <c r="GL80" s="96"/>
      <c r="GM80" s="96"/>
      <c r="GN80" s="96"/>
      <c r="GO80" s="96"/>
      <c r="GP80" s="96"/>
      <c r="GQ80" s="96"/>
      <c r="GR80" s="96"/>
      <c r="GS80" s="96"/>
      <c r="GT80" s="96"/>
      <c r="GU80" s="96"/>
      <c r="GV80" s="96"/>
      <c r="GW80" s="96"/>
      <c r="GX80" s="96"/>
      <c r="GY80" s="96"/>
      <c r="GZ80" s="96"/>
      <c r="HA80" s="96"/>
      <c r="HB80" s="96"/>
      <c r="HC80" s="96"/>
      <c r="HD80" s="96"/>
      <c r="HE80" s="96"/>
      <c r="HF80" s="96"/>
      <c r="HG80" s="96"/>
      <c r="HH80" s="96"/>
      <c r="HI80" s="96"/>
      <c r="HJ80" s="96"/>
      <c r="HK80" s="96"/>
      <c r="HL80" s="96"/>
      <c r="HM80" s="96"/>
      <c r="HN80" s="96"/>
      <c r="HO80" s="96"/>
      <c r="HP80" s="96"/>
      <c r="HQ80" s="96"/>
      <c r="HR80" s="96"/>
      <c r="HS80" s="96"/>
      <c r="HT80" s="96"/>
      <c r="HU80" s="96"/>
      <c r="HV80" s="96"/>
      <c r="HW80" s="96"/>
      <c r="HX80" s="96"/>
      <c r="HY80" s="96"/>
      <c r="HZ80" s="96"/>
      <c r="IA80" s="96"/>
      <c r="IB80" s="96"/>
      <c r="IC80" s="96"/>
      <c r="ID80" s="96"/>
      <c r="IE80" s="96"/>
      <c r="IF80" s="96"/>
      <c r="IG80" s="96"/>
      <c r="IH80" s="96"/>
      <c r="II80" s="96"/>
      <c r="IJ80" s="96"/>
      <c r="IK80" s="96"/>
      <c r="IL80" s="96"/>
      <c r="IM80" s="96"/>
      <c r="IN80" s="96"/>
      <c r="IO80" s="96"/>
      <c r="IP80" s="96"/>
      <c r="IQ80" s="96"/>
      <c r="IR80" s="96"/>
      <c r="IS80" s="96"/>
      <c r="IT80" s="96"/>
      <c r="IU80" s="96"/>
      <c r="IV80" s="96"/>
    </row>
    <row r="81" spans="1:256" s="224" customFormat="1" ht="16.5" customHeight="1" x14ac:dyDescent="0.2">
      <c r="A81" s="32" t="str">
        <f>'Common-size FS'!A77</f>
        <v>Advertising expense</v>
      </c>
      <c r="B81" s="32">
        <f>'Common-size FS'!B77</f>
        <v>114</v>
      </c>
      <c r="C81" s="32">
        <f>'Common-size FS'!C77</f>
        <v>128</v>
      </c>
      <c r="D81" s="32">
        <f>'Common-size FS'!D77</f>
        <v>161</v>
      </c>
      <c r="E81" s="32">
        <f>'Common-size FS'!E77</f>
        <v>167</v>
      </c>
      <c r="F81" s="32">
        <f>'Common-size FS'!F77</f>
        <v>195</v>
      </c>
      <c r="G81" s="32">
        <f>'Common-size FS'!G77</f>
        <v>227</v>
      </c>
      <c r="H81" s="718"/>
      <c r="I81" s="718"/>
      <c r="J81" s="718"/>
      <c r="K81" s="718"/>
      <c r="L81" s="718"/>
      <c r="M81" s="718"/>
      <c r="N81" s="718"/>
      <c r="O81" s="718"/>
      <c r="P81" s="718"/>
      <c r="Q81" s="718"/>
      <c r="R81" s="718"/>
      <c r="S81" s="718"/>
      <c r="T81" s="718"/>
      <c r="U81" s="718"/>
      <c r="V81" s="718"/>
      <c r="W81" s="718"/>
      <c r="X81" s="718"/>
      <c r="Y81" s="718"/>
      <c r="Z81" s="718"/>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c r="BN81" s="96"/>
      <c r="BO81" s="96"/>
      <c r="BP81" s="96"/>
      <c r="BQ81" s="96"/>
      <c r="BR81" s="96"/>
      <c r="BS81" s="96"/>
      <c r="BT81" s="96"/>
      <c r="BU81" s="96"/>
      <c r="BV81" s="96"/>
      <c r="BW81" s="96"/>
      <c r="BX81" s="96"/>
      <c r="BY81" s="96"/>
      <c r="BZ81" s="96"/>
      <c r="CA81" s="96"/>
      <c r="CB81" s="96"/>
      <c r="CC81" s="96"/>
      <c r="CD81" s="96"/>
      <c r="CE81" s="96"/>
      <c r="CF81" s="96"/>
      <c r="CG81" s="96"/>
      <c r="CH81" s="96"/>
      <c r="CI81" s="96"/>
      <c r="CJ81" s="96"/>
      <c r="CK81" s="96"/>
      <c r="CL81" s="96"/>
      <c r="CM81" s="96"/>
      <c r="CN81" s="96"/>
      <c r="CO81" s="96"/>
      <c r="CP81" s="96"/>
      <c r="CQ81" s="96"/>
      <c r="CR81" s="96"/>
      <c r="CS81" s="96"/>
      <c r="CT81" s="96"/>
      <c r="CU81" s="96"/>
      <c r="CV81" s="96"/>
      <c r="CW81" s="96"/>
      <c r="CX81" s="96"/>
      <c r="CY81" s="96"/>
      <c r="CZ81" s="96"/>
      <c r="DA81" s="96"/>
      <c r="DB81" s="96"/>
      <c r="DC81" s="96"/>
      <c r="DD81" s="96"/>
      <c r="DE81" s="96"/>
      <c r="DF81" s="96"/>
      <c r="DG81" s="96"/>
      <c r="DH81" s="96"/>
      <c r="DI81" s="96"/>
      <c r="DJ81" s="96"/>
      <c r="DK81" s="96"/>
      <c r="DL81" s="96"/>
      <c r="DM81" s="96"/>
      <c r="DN81" s="96"/>
      <c r="DO81" s="96"/>
      <c r="DP81" s="96"/>
      <c r="DQ81" s="96"/>
      <c r="DR81" s="96"/>
      <c r="DS81" s="96"/>
      <c r="DT81" s="96"/>
      <c r="DU81" s="96"/>
      <c r="DV81" s="96"/>
      <c r="DW81" s="96"/>
      <c r="DX81" s="96"/>
      <c r="DY81" s="96"/>
      <c r="DZ81" s="96"/>
      <c r="EA81" s="96"/>
      <c r="EB81" s="96"/>
      <c r="EC81" s="96"/>
      <c r="ED81" s="96"/>
      <c r="EE81" s="96"/>
      <c r="EF81" s="96"/>
      <c r="EG81" s="96"/>
      <c r="EH81" s="96"/>
      <c r="EI81" s="96"/>
      <c r="EJ81" s="96"/>
      <c r="EK81" s="96"/>
      <c r="EL81" s="96"/>
      <c r="EM81" s="96"/>
      <c r="EN81" s="96"/>
      <c r="EO81" s="96"/>
      <c r="EP81" s="96"/>
      <c r="EQ81" s="96"/>
      <c r="ER81" s="96"/>
      <c r="ES81" s="96"/>
      <c r="ET81" s="96"/>
      <c r="EU81" s="96"/>
      <c r="EV81" s="96"/>
      <c r="EW81" s="96"/>
      <c r="EX81" s="96"/>
      <c r="EY81" s="96"/>
      <c r="EZ81" s="96"/>
      <c r="FA81" s="96"/>
      <c r="FB81" s="96"/>
      <c r="FC81" s="96"/>
      <c r="FD81" s="96"/>
      <c r="FE81" s="96"/>
      <c r="FF81" s="96"/>
      <c r="FG81" s="96"/>
      <c r="FH81" s="96"/>
      <c r="FI81" s="96"/>
      <c r="FJ81" s="96"/>
      <c r="FK81" s="96"/>
      <c r="FL81" s="96"/>
      <c r="FM81" s="96"/>
      <c r="FN81" s="96"/>
      <c r="FO81" s="96"/>
      <c r="FP81" s="96"/>
      <c r="FQ81" s="96"/>
      <c r="FR81" s="96"/>
      <c r="FS81" s="96"/>
      <c r="FT81" s="96"/>
      <c r="FU81" s="96"/>
      <c r="FV81" s="96"/>
      <c r="FW81" s="96"/>
      <c r="FX81" s="96"/>
      <c r="FY81" s="96"/>
      <c r="FZ81" s="96"/>
      <c r="GA81" s="96"/>
      <c r="GB81" s="96"/>
      <c r="GC81" s="96"/>
      <c r="GD81" s="96"/>
      <c r="GE81" s="96"/>
      <c r="GF81" s="96"/>
      <c r="GG81" s="96"/>
      <c r="GH81" s="96"/>
      <c r="GI81" s="96"/>
      <c r="GJ81" s="96"/>
      <c r="GK81" s="96"/>
      <c r="GL81" s="96"/>
      <c r="GM81" s="96"/>
      <c r="GN81" s="96"/>
      <c r="GO81" s="96"/>
      <c r="GP81" s="96"/>
      <c r="GQ81" s="96"/>
      <c r="GR81" s="96"/>
      <c r="GS81" s="96"/>
      <c r="GT81" s="96"/>
      <c r="GU81" s="96"/>
      <c r="GV81" s="96"/>
      <c r="GW81" s="96"/>
      <c r="GX81" s="96"/>
      <c r="GY81" s="96"/>
      <c r="GZ81" s="96"/>
      <c r="HA81" s="96"/>
      <c r="HB81" s="96"/>
      <c r="HC81" s="96"/>
      <c r="HD81" s="96"/>
      <c r="HE81" s="96"/>
      <c r="HF81" s="96"/>
      <c r="HG81" s="96"/>
      <c r="HH81" s="96"/>
      <c r="HI81" s="96"/>
      <c r="HJ81" s="96"/>
      <c r="HK81" s="96"/>
      <c r="HL81" s="96"/>
      <c r="HM81" s="96"/>
      <c r="HN81" s="96"/>
      <c r="HO81" s="96"/>
      <c r="HP81" s="96"/>
      <c r="HQ81" s="96"/>
      <c r="HR81" s="96"/>
      <c r="HS81" s="96"/>
      <c r="HT81" s="96"/>
      <c r="HU81" s="96"/>
      <c r="HV81" s="96"/>
      <c r="HW81" s="96"/>
      <c r="HX81" s="96"/>
      <c r="HY81" s="96"/>
      <c r="HZ81" s="96"/>
      <c r="IA81" s="96"/>
      <c r="IB81" s="96"/>
      <c r="IC81" s="96"/>
      <c r="ID81" s="96"/>
      <c r="IE81" s="96"/>
      <c r="IF81" s="96"/>
      <c r="IG81" s="96"/>
      <c r="IH81" s="96"/>
      <c r="II81" s="96"/>
      <c r="IJ81" s="96"/>
      <c r="IK81" s="96"/>
      <c r="IL81" s="96"/>
      <c r="IM81" s="96"/>
      <c r="IN81" s="96"/>
      <c r="IO81" s="96"/>
      <c r="IP81" s="96"/>
      <c r="IQ81" s="96"/>
      <c r="IR81" s="96"/>
      <c r="IS81" s="96"/>
      <c r="IT81" s="96"/>
      <c r="IU81" s="96"/>
      <c r="IV81" s="96"/>
    </row>
    <row r="82" spans="1:256" s="532" customFormat="1" ht="16.5" customHeight="1" x14ac:dyDescent="0.2">
      <c r="A82" s="75" t="str">
        <f>'Common-size FS'!A78</f>
        <v>D&amp;A</v>
      </c>
      <c r="B82" s="32">
        <f>'Common-size FS'!B78</f>
        <v>327</v>
      </c>
      <c r="C82" s="32">
        <f>'Common-size FS'!C78</f>
        <v>445</v>
      </c>
      <c r="D82" s="32">
        <f>'Common-size FS'!D78</f>
        <v>506</v>
      </c>
      <c r="E82" s="32">
        <f>'Common-size FS'!E78</f>
        <v>569</v>
      </c>
      <c r="F82" s="32">
        <f>'Common-size FS'!F78</f>
        <v>650</v>
      </c>
      <c r="G82" s="32">
        <f>'Common-size FS'!G78</f>
        <v>742</v>
      </c>
      <c r="H82" s="725"/>
      <c r="I82" s="725"/>
      <c r="J82" s="725"/>
      <c r="K82" s="725"/>
      <c r="L82" s="725"/>
      <c r="M82" s="725"/>
      <c r="N82" s="725"/>
      <c r="O82" s="725"/>
      <c r="P82" s="725"/>
      <c r="Q82" s="725"/>
      <c r="R82" s="725"/>
      <c r="S82" s="725"/>
      <c r="T82" s="725"/>
      <c r="U82" s="725"/>
      <c r="V82" s="725"/>
      <c r="W82" s="725"/>
      <c r="X82" s="725"/>
      <c r="Y82" s="725"/>
      <c r="Z82" s="725"/>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49"/>
      <c r="DA82" s="149"/>
      <c r="DB82" s="149"/>
      <c r="DC82" s="149"/>
      <c r="DD82" s="149"/>
      <c r="DE82" s="149"/>
      <c r="DF82" s="149"/>
      <c r="DG82" s="149"/>
      <c r="DH82" s="149"/>
      <c r="DI82" s="149"/>
      <c r="DJ82" s="149"/>
      <c r="DK82" s="149"/>
      <c r="DL82" s="149"/>
      <c r="DM82" s="149"/>
      <c r="DN82" s="149"/>
      <c r="DO82" s="149"/>
      <c r="DP82" s="149"/>
      <c r="DQ82" s="149"/>
      <c r="DR82" s="149"/>
      <c r="DS82" s="149"/>
      <c r="DT82" s="149"/>
      <c r="DU82" s="149"/>
      <c r="DV82" s="149"/>
      <c r="DW82" s="149"/>
      <c r="DX82" s="149"/>
      <c r="DY82" s="149"/>
      <c r="DZ82" s="149"/>
      <c r="EA82" s="149"/>
      <c r="EB82" s="149"/>
      <c r="EC82" s="149"/>
      <c r="ED82" s="149"/>
      <c r="EE82" s="149"/>
      <c r="EF82" s="149"/>
      <c r="EG82" s="149"/>
      <c r="EH82" s="149"/>
      <c r="EI82" s="149"/>
      <c r="EJ82" s="149"/>
      <c r="EK82" s="149"/>
      <c r="EL82" s="149"/>
      <c r="EM82" s="149"/>
      <c r="EN82" s="149"/>
      <c r="EO82" s="149"/>
      <c r="EP82" s="149"/>
      <c r="EQ82" s="149"/>
      <c r="ER82" s="149"/>
      <c r="ES82" s="149"/>
      <c r="ET82" s="149"/>
      <c r="EU82" s="149"/>
      <c r="EV82" s="149"/>
      <c r="EW82" s="149"/>
      <c r="EX82" s="149"/>
      <c r="EY82" s="149"/>
      <c r="EZ82" s="149"/>
      <c r="FA82" s="149"/>
      <c r="FB82" s="149"/>
      <c r="FC82" s="149"/>
      <c r="FD82" s="149"/>
      <c r="FE82" s="149"/>
      <c r="FF82" s="149"/>
      <c r="FG82" s="149"/>
      <c r="FH82" s="149"/>
      <c r="FI82" s="149"/>
      <c r="FJ82" s="149"/>
      <c r="FK82" s="149"/>
      <c r="FL82" s="149"/>
      <c r="FM82" s="149"/>
      <c r="FN82" s="149"/>
      <c r="FO82" s="149"/>
      <c r="FP82" s="149"/>
      <c r="FQ82" s="149"/>
      <c r="FR82" s="149"/>
      <c r="FS82" s="149"/>
      <c r="FT82" s="149"/>
      <c r="FU82" s="149"/>
      <c r="FV82" s="149"/>
      <c r="FW82" s="149"/>
      <c r="FX82" s="149"/>
      <c r="FY82" s="149"/>
      <c r="FZ82" s="149"/>
      <c r="GA82" s="149"/>
      <c r="GB82" s="149"/>
      <c r="GC82" s="149"/>
      <c r="GD82" s="149"/>
      <c r="GE82" s="149"/>
      <c r="GF82" s="149"/>
      <c r="GG82" s="149"/>
      <c r="GH82" s="149"/>
      <c r="GI82" s="149"/>
      <c r="GJ82" s="149"/>
      <c r="GK82" s="149"/>
      <c r="GL82" s="149"/>
      <c r="GM82" s="149"/>
      <c r="GN82" s="149"/>
      <c r="GO82" s="149"/>
      <c r="GP82" s="149"/>
      <c r="GQ82" s="149"/>
      <c r="GR82" s="149"/>
      <c r="GS82" s="149"/>
      <c r="GT82" s="149"/>
      <c r="GU82" s="149"/>
      <c r="GV82" s="149"/>
      <c r="GW82" s="149"/>
      <c r="GX82" s="149"/>
      <c r="GY82" s="149"/>
      <c r="GZ82" s="149"/>
      <c r="HA82" s="149"/>
      <c r="HB82" s="149"/>
      <c r="HC82" s="149"/>
      <c r="HD82" s="149"/>
      <c r="HE82" s="149"/>
      <c r="HF82" s="149"/>
      <c r="HG82" s="149"/>
      <c r="HH82" s="149"/>
      <c r="HI82" s="149"/>
      <c r="HJ82" s="149"/>
      <c r="HK82" s="149"/>
      <c r="HL82" s="149"/>
      <c r="HM82" s="149"/>
      <c r="HN82" s="149"/>
      <c r="HO82" s="149"/>
      <c r="HP82" s="149"/>
      <c r="HQ82" s="149"/>
      <c r="HR82" s="149"/>
      <c r="HS82" s="149"/>
      <c r="HT82" s="149"/>
      <c r="HU82" s="149"/>
      <c r="HV82" s="149"/>
      <c r="HW82" s="149"/>
      <c r="HX82" s="149"/>
      <c r="HY82" s="149"/>
      <c r="HZ82" s="149"/>
      <c r="IA82" s="149"/>
      <c r="IB82" s="149"/>
      <c r="IC82" s="149"/>
      <c r="ID82" s="149"/>
      <c r="IE82" s="149"/>
      <c r="IF82" s="149"/>
      <c r="IG82" s="149"/>
      <c r="IH82" s="149"/>
      <c r="II82" s="149"/>
      <c r="IJ82" s="149"/>
      <c r="IK82" s="149"/>
      <c r="IL82" s="149"/>
      <c r="IM82" s="149"/>
      <c r="IN82" s="149"/>
      <c r="IO82" s="149"/>
      <c r="IP82" s="149"/>
      <c r="IQ82" s="149"/>
      <c r="IR82" s="149"/>
      <c r="IS82" s="149"/>
      <c r="IT82" s="149"/>
      <c r="IU82" s="149"/>
      <c r="IV82" s="149"/>
    </row>
    <row r="83" spans="1:256" s="493" customFormat="1" ht="16.5" customHeight="1" x14ac:dyDescent="0.2">
      <c r="A83" s="71" t="str">
        <f>'Common-size FS'!A79</f>
        <v>Other operating expenses (income)</v>
      </c>
      <c r="B83" s="32">
        <f>'Common-size FS'!B79</f>
        <v>0</v>
      </c>
      <c r="C83" s="32">
        <f>'Common-size FS'!C79</f>
        <v>0</v>
      </c>
      <c r="D83" s="32">
        <f>'Common-size FS'!D79</f>
        <v>0</v>
      </c>
      <c r="E83" s="32">
        <f>'Common-size FS'!E79</f>
        <v>0</v>
      </c>
      <c r="F83" s="32">
        <f>'Common-size FS'!F79</f>
        <v>0</v>
      </c>
      <c r="G83" s="32">
        <f>'Common-size FS'!G79</f>
        <v>0</v>
      </c>
      <c r="H83" s="724"/>
      <c r="I83" s="724"/>
      <c r="J83" s="724"/>
      <c r="K83" s="724"/>
      <c r="L83" s="724"/>
      <c r="M83" s="724"/>
      <c r="N83" s="724"/>
      <c r="O83" s="724"/>
      <c r="P83" s="724"/>
      <c r="Q83" s="724"/>
      <c r="R83" s="724"/>
      <c r="S83" s="724"/>
      <c r="T83" s="724"/>
      <c r="U83" s="724"/>
      <c r="V83" s="724"/>
      <c r="W83" s="724"/>
      <c r="X83" s="724"/>
      <c r="Y83" s="724"/>
      <c r="Z83" s="724"/>
      <c r="AA83" s="227"/>
      <c r="AB83" s="227"/>
      <c r="AC83" s="227"/>
      <c r="AD83" s="227"/>
      <c r="AE83" s="227"/>
      <c r="AF83" s="227"/>
      <c r="AG83" s="227"/>
      <c r="AH83" s="227"/>
      <c r="AI83" s="227"/>
      <c r="AJ83" s="227"/>
      <c r="AK83" s="227"/>
      <c r="AL83" s="227"/>
      <c r="AM83" s="227"/>
      <c r="AN83" s="227"/>
      <c r="AO83" s="227"/>
      <c r="AP83" s="227"/>
      <c r="AQ83" s="227"/>
      <c r="AR83" s="227"/>
      <c r="AS83" s="227"/>
      <c r="AT83" s="227"/>
      <c r="AU83" s="227"/>
      <c r="AV83" s="227"/>
      <c r="AW83" s="227"/>
      <c r="AX83" s="227"/>
      <c r="AY83" s="227"/>
      <c r="AZ83" s="227"/>
      <c r="BA83" s="227"/>
      <c r="BB83" s="227"/>
      <c r="BC83" s="227"/>
      <c r="BD83" s="227"/>
      <c r="BE83" s="227"/>
      <c r="BF83" s="227"/>
      <c r="BG83" s="227"/>
      <c r="BH83" s="227"/>
      <c r="BI83" s="227"/>
      <c r="BJ83" s="227"/>
      <c r="BK83" s="227"/>
      <c r="BL83" s="227"/>
      <c r="BM83" s="227"/>
      <c r="BN83" s="227"/>
      <c r="BO83" s="227"/>
      <c r="BP83" s="227"/>
      <c r="BQ83" s="227"/>
      <c r="BR83" s="227"/>
      <c r="BS83" s="227"/>
      <c r="BT83" s="227"/>
      <c r="BU83" s="227"/>
      <c r="BV83" s="227"/>
      <c r="BW83" s="227"/>
      <c r="BX83" s="227"/>
      <c r="BY83" s="227"/>
      <c r="BZ83" s="227"/>
      <c r="CA83" s="227"/>
      <c r="CB83" s="227"/>
      <c r="CC83" s="227"/>
      <c r="CD83" s="227"/>
      <c r="CE83" s="227"/>
      <c r="CF83" s="227"/>
      <c r="CG83" s="227"/>
      <c r="CH83" s="227"/>
      <c r="CI83" s="227"/>
      <c r="CJ83" s="227"/>
      <c r="CK83" s="227"/>
      <c r="CL83" s="227"/>
      <c r="CM83" s="227"/>
      <c r="CN83" s="227"/>
      <c r="CO83" s="227"/>
      <c r="CP83" s="227"/>
      <c r="CQ83" s="227"/>
      <c r="CR83" s="227"/>
      <c r="CS83" s="227"/>
      <c r="CT83" s="227"/>
      <c r="CU83" s="227"/>
      <c r="CV83" s="227"/>
      <c r="CW83" s="227"/>
      <c r="CX83" s="227"/>
      <c r="CY83" s="227"/>
      <c r="CZ83" s="227"/>
      <c r="DA83" s="227"/>
      <c r="DB83" s="227"/>
      <c r="DC83" s="227"/>
      <c r="DD83" s="227"/>
      <c r="DE83" s="227"/>
      <c r="DF83" s="227"/>
      <c r="DG83" s="227"/>
      <c r="DH83" s="227"/>
      <c r="DI83" s="227"/>
      <c r="DJ83" s="227"/>
      <c r="DK83" s="227"/>
      <c r="DL83" s="227"/>
      <c r="DM83" s="227"/>
      <c r="DN83" s="227"/>
      <c r="DO83" s="227"/>
      <c r="DP83" s="227"/>
      <c r="DQ83" s="227"/>
      <c r="DR83" s="227"/>
      <c r="DS83" s="227"/>
      <c r="DT83" s="227"/>
      <c r="DU83" s="227"/>
      <c r="DV83" s="227"/>
      <c r="DW83" s="227"/>
      <c r="DX83" s="227"/>
      <c r="DY83" s="227"/>
      <c r="DZ83" s="227"/>
      <c r="EA83" s="227"/>
      <c r="EB83" s="227"/>
      <c r="EC83" s="227"/>
      <c r="ED83" s="227"/>
      <c r="EE83" s="227"/>
      <c r="EF83" s="227"/>
      <c r="EG83" s="227"/>
      <c r="EH83" s="227"/>
      <c r="EI83" s="227"/>
      <c r="EJ83" s="227"/>
      <c r="EK83" s="227"/>
      <c r="EL83" s="227"/>
      <c r="EM83" s="227"/>
      <c r="EN83" s="227"/>
      <c r="EO83" s="227"/>
      <c r="EP83" s="227"/>
      <c r="EQ83" s="227"/>
      <c r="ER83" s="227"/>
      <c r="ES83" s="227"/>
      <c r="ET83" s="227"/>
      <c r="EU83" s="227"/>
      <c r="EV83" s="227"/>
      <c r="EW83" s="227"/>
      <c r="EX83" s="227"/>
      <c r="EY83" s="227"/>
      <c r="EZ83" s="227"/>
      <c r="FA83" s="227"/>
      <c r="FB83" s="227"/>
      <c r="FC83" s="227"/>
      <c r="FD83" s="227"/>
      <c r="FE83" s="227"/>
      <c r="FF83" s="227"/>
      <c r="FG83" s="227"/>
      <c r="FH83" s="227"/>
      <c r="FI83" s="227"/>
      <c r="FJ83" s="227"/>
      <c r="FK83" s="227"/>
      <c r="FL83" s="227"/>
      <c r="FM83" s="227"/>
      <c r="FN83" s="227"/>
      <c r="FO83" s="227"/>
      <c r="FP83" s="227"/>
      <c r="FQ83" s="227"/>
      <c r="FR83" s="227"/>
      <c r="FS83" s="227"/>
      <c r="FT83" s="227"/>
      <c r="FU83" s="227"/>
      <c r="FV83" s="227"/>
      <c r="FW83" s="227"/>
      <c r="FX83" s="227"/>
      <c r="FY83" s="227"/>
      <c r="FZ83" s="227"/>
      <c r="GA83" s="227"/>
      <c r="GB83" s="227"/>
      <c r="GC83" s="227"/>
      <c r="GD83" s="227"/>
      <c r="GE83" s="227"/>
      <c r="GF83" s="227"/>
      <c r="GG83" s="227"/>
      <c r="GH83" s="227"/>
      <c r="GI83" s="227"/>
      <c r="GJ83" s="227"/>
      <c r="GK83" s="227"/>
      <c r="GL83" s="227"/>
      <c r="GM83" s="227"/>
      <c r="GN83" s="227"/>
      <c r="GO83" s="227"/>
      <c r="GP83" s="227"/>
      <c r="GQ83" s="227"/>
      <c r="GR83" s="227"/>
      <c r="GS83" s="227"/>
      <c r="GT83" s="227"/>
      <c r="GU83" s="227"/>
      <c r="GV83" s="227"/>
      <c r="GW83" s="227"/>
      <c r="GX83" s="227"/>
      <c r="GY83" s="227"/>
      <c r="GZ83" s="227"/>
      <c r="HA83" s="227"/>
      <c r="HB83" s="227"/>
      <c r="HC83" s="227"/>
      <c r="HD83" s="227"/>
      <c r="HE83" s="227"/>
      <c r="HF83" s="227"/>
      <c r="HG83" s="227"/>
      <c r="HH83" s="227"/>
      <c r="HI83" s="227"/>
      <c r="HJ83" s="227"/>
      <c r="HK83" s="227"/>
      <c r="HL83" s="227"/>
      <c r="HM83" s="227"/>
      <c r="HN83" s="227"/>
      <c r="HO83" s="227"/>
      <c r="HP83" s="227"/>
      <c r="HQ83" s="227"/>
      <c r="HR83" s="227"/>
      <c r="HS83" s="227"/>
      <c r="HT83" s="227"/>
      <c r="HU83" s="227"/>
      <c r="HV83" s="227"/>
      <c r="HW83" s="227"/>
      <c r="HX83" s="227"/>
      <c r="HY83" s="227"/>
      <c r="HZ83" s="227"/>
      <c r="IA83" s="227"/>
      <c r="IB83" s="227"/>
      <c r="IC83" s="227"/>
      <c r="ID83" s="227"/>
      <c r="IE83" s="227"/>
      <c r="IF83" s="227"/>
      <c r="IG83" s="227"/>
      <c r="IH83" s="227"/>
      <c r="II83" s="227"/>
      <c r="IJ83" s="227"/>
      <c r="IK83" s="227"/>
      <c r="IL83" s="227"/>
      <c r="IM83" s="227"/>
      <c r="IN83" s="227"/>
      <c r="IO83" s="227"/>
      <c r="IP83" s="227"/>
      <c r="IQ83" s="227"/>
      <c r="IR83" s="227"/>
      <c r="IS83" s="227"/>
      <c r="IT83" s="227"/>
      <c r="IU83" s="227"/>
      <c r="IV83" s="227"/>
    </row>
    <row r="84" spans="1:256" s="73" customFormat="1" ht="16.5" customHeight="1" x14ac:dyDescent="0.2">
      <c r="A84" s="73" t="str">
        <f>'Common-size FS'!A80</f>
        <v>Total operating expenses</v>
      </c>
      <c r="B84" s="256">
        <f>'Common-size FS'!B80</f>
        <v>2685</v>
      </c>
      <c r="C84" s="256">
        <f>'Common-size FS'!C80</f>
        <v>2967</v>
      </c>
      <c r="D84" s="256">
        <f>'Common-size FS'!D80</f>
        <v>3319</v>
      </c>
      <c r="E84" s="256">
        <f>'Common-size FS'!E80</f>
        <v>3408</v>
      </c>
      <c r="F84" s="256">
        <f>'Common-size FS'!F80</f>
        <v>3734</v>
      </c>
      <c r="G84" s="256">
        <f>'Common-size FS'!G80</f>
        <v>4090</v>
      </c>
      <c r="H84" s="729"/>
      <c r="I84" s="729"/>
      <c r="J84" s="729"/>
      <c r="K84" s="729"/>
      <c r="L84" s="729"/>
      <c r="M84" s="729"/>
      <c r="N84" s="729"/>
      <c r="O84" s="729"/>
      <c r="P84" s="729"/>
      <c r="Q84" s="729"/>
      <c r="R84" s="729"/>
      <c r="S84" s="729"/>
      <c r="T84" s="729"/>
      <c r="U84" s="729"/>
      <c r="V84" s="729"/>
      <c r="W84" s="729"/>
      <c r="X84" s="729"/>
      <c r="Y84" s="729"/>
      <c r="Z84" s="729"/>
      <c r="AA84" s="166"/>
      <c r="AB84" s="166"/>
      <c r="AC84" s="166"/>
      <c r="AD84" s="166"/>
      <c r="AE84" s="166"/>
      <c r="AF84" s="166"/>
      <c r="AG84" s="166"/>
      <c r="AH84" s="166"/>
      <c r="AI84" s="166"/>
      <c r="AJ84" s="166"/>
      <c r="AK84" s="166"/>
      <c r="AL84" s="166"/>
      <c r="AM84" s="166"/>
      <c r="AN84" s="166"/>
      <c r="AO84" s="166"/>
      <c r="AP84" s="166"/>
      <c r="AQ84" s="166"/>
      <c r="AR84" s="166"/>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c r="CC84" s="166"/>
      <c r="CD84" s="166"/>
      <c r="CE84" s="166"/>
      <c r="CF84" s="166"/>
      <c r="CG84" s="166"/>
      <c r="CH84" s="166"/>
      <c r="CI84" s="166"/>
      <c r="CJ84" s="166"/>
      <c r="CK84" s="166"/>
      <c r="CL84" s="166"/>
      <c r="CM84" s="166"/>
      <c r="CN84" s="166"/>
      <c r="CO84" s="166"/>
      <c r="CP84" s="166"/>
      <c r="CQ84" s="166"/>
      <c r="CR84" s="166"/>
      <c r="CS84" s="166"/>
      <c r="CT84" s="166"/>
      <c r="CU84" s="166"/>
      <c r="CV84" s="166"/>
      <c r="CW84" s="166"/>
      <c r="CX84" s="166"/>
      <c r="CY84" s="166"/>
      <c r="CZ84" s="166"/>
      <c r="DA84" s="166"/>
      <c r="DB84" s="166"/>
      <c r="DC84" s="166"/>
      <c r="DD84" s="166"/>
      <c r="DE84" s="166"/>
      <c r="DF84" s="166"/>
      <c r="DG84" s="166"/>
      <c r="DH84" s="166"/>
      <c r="DI84" s="166"/>
      <c r="DJ84" s="166"/>
      <c r="DK84" s="166"/>
      <c r="DL84" s="166"/>
      <c r="DM84" s="166"/>
      <c r="DN84" s="166"/>
      <c r="DO84" s="166"/>
      <c r="DP84" s="166"/>
      <c r="DQ84" s="166"/>
      <c r="DR84" s="166"/>
      <c r="DS84" s="166"/>
      <c r="DT84" s="166"/>
      <c r="DU84" s="166"/>
      <c r="DV84" s="166"/>
      <c r="DW84" s="166"/>
      <c r="DX84" s="166"/>
      <c r="DY84" s="166"/>
      <c r="DZ84" s="166"/>
      <c r="EA84" s="166"/>
      <c r="EB84" s="166"/>
      <c r="EC84" s="166"/>
      <c r="ED84" s="166"/>
      <c r="EE84" s="166"/>
      <c r="EF84" s="166"/>
      <c r="EG84" s="166"/>
      <c r="EH84" s="166"/>
      <c r="EI84" s="166"/>
      <c r="EJ84" s="166"/>
      <c r="EK84" s="166"/>
      <c r="EL84" s="166"/>
      <c r="EM84" s="166"/>
      <c r="EN84" s="166"/>
      <c r="EO84" s="166"/>
      <c r="EP84" s="166"/>
      <c r="EQ84" s="166"/>
      <c r="ER84" s="166"/>
      <c r="ES84" s="166"/>
      <c r="ET84" s="166"/>
      <c r="EU84" s="166"/>
      <c r="EV84" s="166"/>
      <c r="EW84" s="166"/>
      <c r="EX84" s="166"/>
      <c r="EY84" s="166"/>
      <c r="EZ84" s="166"/>
      <c r="FA84" s="166"/>
      <c r="FB84" s="166"/>
      <c r="FC84" s="166"/>
      <c r="FD84" s="166"/>
      <c r="FE84" s="166"/>
      <c r="FF84" s="166"/>
      <c r="FG84" s="166"/>
      <c r="FH84" s="166"/>
      <c r="FI84" s="166"/>
      <c r="FJ84" s="166"/>
      <c r="FK84" s="166"/>
      <c r="FL84" s="166"/>
      <c r="FM84" s="166"/>
      <c r="FN84" s="166"/>
      <c r="FO84" s="166"/>
      <c r="FP84" s="166"/>
      <c r="FQ84" s="166"/>
      <c r="FR84" s="166"/>
      <c r="FS84" s="166"/>
      <c r="FT84" s="166"/>
      <c r="FU84" s="166"/>
      <c r="FV84" s="166"/>
      <c r="FW84" s="166"/>
      <c r="FX84" s="166"/>
      <c r="FY84" s="166"/>
      <c r="FZ84" s="166"/>
      <c r="GA84" s="166"/>
      <c r="GB84" s="166"/>
      <c r="GC84" s="166"/>
      <c r="GD84" s="166"/>
      <c r="GE84" s="166"/>
      <c r="GF84" s="166"/>
      <c r="GG84" s="166"/>
      <c r="GH84" s="166"/>
      <c r="GI84" s="166"/>
      <c r="GJ84" s="166"/>
      <c r="GK84" s="166"/>
      <c r="GL84" s="166"/>
      <c r="GM84" s="166"/>
      <c r="GN84" s="166"/>
      <c r="GO84" s="166"/>
      <c r="GP84" s="166"/>
      <c r="GQ84" s="166"/>
      <c r="GR84" s="166"/>
      <c r="GS84" s="166"/>
      <c r="GT84" s="166"/>
      <c r="GU84" s="166"/>
      <c r="GV84" s="166"/>
      <c r="GW84" s="166"/>
      <c r="GX84" s="166"/>
      <c r="GY84" s="166"/>
      <c r="GZ84" s="166"/>
      <c r="HA84" s="166"/>
      <c r="HB84" s="166"/>
      <c r="HC84" s="166"/>
      <c r="HD84" s="166"/>
      <c r="HE84" s="166"/>
      <c r="HF84" s="166"/>
      <c r="HG84" s="166"/>
      <c r="HH84" s="166"/>
      <c r="HI84" s="166"/>
      <c r="HJ84" s="166"/>
      <c r="HK84" s="166"/>
      <c r="HL84" s="166"/>
      <c r="HM84" s="166"/>
      <c r="HN84" s="166"/>
      <c r="HO84" s="166"/>
      <c r="HP84" s="166"/>
      <c r="HQ84" s="166"/>
      <c r="HR84" s="166"/>
      <c r="HS84" s="166"/>
      <c r="HT84" s="166"/>
      <c r="HU84" s="166"/>
      <c r="HV84" s="166"/>
      <c r="HW84" s="166"/>
      <c r="HX84" s="166"/>
      <c r="HY84" s="166"/>
      <c r="HZ84" s="166"/>
      <c r="IA84" s="166"/>
      <c r="IB84" s="166"/>
      <c r="IC84" s="166"/>
      <c r="ID84" s="166"/>
      <c r="IE84" s="166"/>
      <c r="IF84" s="166"/>
      <c r="IG84" s="166"/>
      <c r="IH84" s="166"/>
      <c r="II84" s="166"/>
      <c r="IJ84" s="166"/>
      <c r="IK84" s="166"/>
      <c r="IL84" s="166"/>
      <c r="IM84" s="166"/>
      <c r="IN84" s="166"/>
      <c r="IO84" s="166"/>
      <c r="IP84" s="166"/>
      <c r="IQ84" s="166"/>
      <c r="IR84" s="166"/>
      <c r="IS84" s="166"/>
      <c r="IT84" s="166"/>
      <c r="IU84" s="166"/>
      <c r="IV84" s="166"/>
    </row>
    <row r="85" spans="1:256" s="492" customFormat="1" ht="16.5" customHeight="1" x14ac:dyDescent="0.2">
      <c r="A85" s="41" t="str">
        <f>'Common-size FS'!A81</f>
        <v>Operating income</v>
      </c>
      <c r="B85" s="22">
        <f>'Common-size FS'!B81</f>
        <v>1118</v>
      </c>
      <c r="C85" s="22">
        <f>'Common-size FS'!C81</f>
        <v>1277</v>
      </c>
      <c r="D85" s="22">
        <f>'Common-size FS'!D81</f>
        <v>1314</v>
      </c>
      <c r="E85" s="22">
        <f>'Common-size FS'!E81</f>
        <v>1343</v>
      </c>
      <c r="F85" s="22">
        <f>'Common-size FS'!F81</f>
        <v>1282</v>
      </c>
      <c r="G85" s="22">
        <f>'Common-size FS'!G81</f>
        <v>990</v>
      </c>
      <c r="H85" s="677"/>
      <c r="I85" s="677"/>
      <c r="J85" s="677"/>
      <c r="K85" s="677"/>
      <c r="L85" s="677"/>
      <c r="M85" s="677"/>
      <c r="N85" s="677"/>
      <c r="O85" s="677"/>
      <c r="P85" s="677"/>
      <c r="Q85" s="677"/>
      <c r="R85" s="677"/>
      <c r="S85" s="677"/>
      <c r="T85" s="677"/>
      <c r="U85" s="677"/>
      <c r="V85" s="677"/>
      <c r="W85" s="677"/>
      <c r="X85" s="677"/>
      <c r="Y85" s="677"/>
      <c r="Z85" s="677"/>
      <c r="AA85" s="193"/>
      <c r="AB85" s="193"/>
      <c r="AC85" s="193"/>
      <c r="AD85" s="193"/>
      <c r="AE85" s="193"/>
      <c r="AF85" s="193"/>
      <c r="AG85" s="193"/>
      <c r="AH85" s="193"/>
      <c r="AI85" s="193"/>
      <c r="AJ85" s="193"/>
      <c r="AK85" s="193"/>
      <c r="AL85" s="193"/>
      <c r="AM85" s="193"/>
      <c r="AN85" s="193"/>
      <c r="AO85" s="193"/>
      <c r="AP85" s="193"/>
      <c r="AQ85" s="193"/>
      <c r="AR85" s="193"/>
      <c r="AS85" s="193"/>
      <c r="AT85" s="193"/>
      <c r="AU85" s="193"/>
      <c r="AV85" s="193"/>
      <c r="AW85" s="193"/>
      <c r="AX85" s="193"/>
      <c r="AY85" s="193"/>
      <c r="AZ85" s="193"/>
      <c r="BA85" s="193"/>
      <c r="BB85" s="193"/>
      <c r="BC85" s="193"/>
      <c r="BD85" s="193"/>
      <c r="BE85" s="193"/>
      <c r="BF85" s="193"/>
      <c r="BG85" s="193"/>
      <c r="BH85" s="193"/>
      <c r="BI85" s="193"/>
      <c r="BJ85" s="193"/>
      <c r="BK85" s="193"/>
      <c r="BL85" s="193"/>
      <c r="BM85" s="193"/>
      <c r="BN85" s="193"/>
      <c r="BO85" s="193"/>
      <c r="BP85" s="193"/>
      <c r="BQ85" s="193"/>
      <c r="BR85" s="193"/>
      <c r="BS85" s="193"/>
      <c r="BT85" s="193"/>
      <c r="BU85" s="193"/>
      <c r="BV85" s="193"/>
      <c r="BW85" s="193"/>
      <c r="BX85" s="193"/>
      <c r="BY85" s="193"/>
      <c r="BZ85" s="193"/>
      <c r="CA85" s="193"/>
      <c r="CB85" s="193"/>
      <c r="CC85" s="193"/>
      <c r="CD85" s="193"/>
      <c r="CE85" s="193"/>
      <c r="CF85" s="193"/>
      <c r="CG85" s="193"/>
      <c r="CH85" s="193"/>
      <c r="CI85" s="193"/>
      <c r="CJ85" s="193"/>
      <c r="CK85" s="193"/>
      <c r="CL85" s="193"/>
      <c r="CM85" s="193"/>
      <c r="CN85" s="193"/>
      <c r="CO85" s="193"/>
      <c r="CP85" s="193"/>
      <c r="CQ85" s="193"/>
      <c r="CR85" s="193"/>
      <c r="CS85" s="193"/>
      <c r="CT85" s="193"/>
      <c r="CU85" s="193"/>
      <c r="CV85" s="193"/>
      <c r="CW85" s="193"/>
      <c r="CX85" s="193"/>
      <c r="CY85" s="193"/>
      <c r="CZ85" s="193"/>
      <c r="DA85" s="193"/>
      <c r="DB85" s="193"/>
      <c r="DC85" s="193"/>
      <c r="DD85" s="193"/>
      <c r="DE85" s="193"/>
      <c r="DF85" s="193"/>
      <c r="DG85" s="193"/>
      <c r="DH85" s="193"/>
      <c r="DI85" s="193"/>
      <c r="DJ85" s="193"/>
      <c r="DK85" s="193"/>
      <c r="DL85" s="193"/>
      <c r="DM85" s="193"/>
      <c r="DN85" s="193"/>
      <c r="DO85" s="193"/>
      <c r="DP85" s="193"/>
      <c r="DQ85" s="193"/>
      <c r="DR85" s="193"/>
      <c r="DS85" s="193"/>
      <c r="DT85" s="193"/>
      <c r="DU85" s="193"/>
      <c r="DV85" s="193"/>
      <c r="DW85" s="193"/>
      <c r="DX85" s="193"/>
      <c r="DY85" s="193"/>
      <c r="DZ85" s="193"/>
      <c r="EA85" s="193"/>
      <c r="EB85" s="193"/>
      <c r="EC85" s="193"/>
      <c r="ED85" s="193"/>
      <c r="EE85" s="193"/>
      <c r="EF85" s="193"/>
      <c r="EG85" s="193"/>
      <c r="EH85" s="193"/>
      <c r="EI85" s="193"/>
      <c r="EJ85" s="193"/>
      <c r="EK85" s="193"/>
      <c r="EL85" s="193"/>
      <c r="EM85" s="193"/>
      <c r="EN85" s="193"/>
      <c r="EO85" s="193"/>
      <c r="EP85" s="193"/>
      <c r="EQ85" s="193"/>
      <c r="ER85" s="193"/>
      <c r="ES85" s="193"/>
      <c r="ET85" s="193"/>
      <c r="EU85" s="193"/>
      <c r="EV85" s="193"/>
      <c r="EW85" s="193"/>
      <c r="EX85" s="193"/>
      <c r="EY85" s="193"/>
      <c r="EZ85" s="193"/>
      <c r="FA85" s="193"/>
      <c r="FB85" s="193"/>
      <c r="FC85" s="193"/>
      <c r="FD85" s="193"/>
      <c r="FE85" s="193"/>
      <c r="FF85" s="193"/>
      <c r="FG85" s="193"/>
      <c r="FH85" s="193"/>
      <c r="FI85" s="193"/>
      <c r="FJ85" s="193"/>
      <c r="FK85" s="193"/>
      <c r="FL85" s="193"/>
      <c r="FM85" s="193"/>
      <c r="FN85" s="193"/>
      <c r="FO85" s="193"/>
      <c r="FP85" s="193"/>
      <c r="FQ85" s="193"/>
      <c r="FR85" s="193"/>
      <c r="FS85" s="193"/>
      <c r="FT85" s="193"/>
      <c r="FU85" s="193"/>
      <c r="FV85" s="193"/>
      <c r="FW85" s="193"/>
      <c r="FX85" s="193"/>
      <c r="FY85" s="193"/>
      <c r="FZ85" s="193"/>
      <c r="GA85" s="193"/>
      <c r="GB85" s="193"/>
      <c r="GC85" s="193"/>
      <c r="GD85" s="193"/>
      <c r="GE85" s="193"/>
      <c r="GF85" s="193"/>
      <c r="GG85" s="193"/>
      <c r="GH85" s="193"/>
      <c r="GI85" s="193"/>
      <c r="GJ85" s="193"/>
      <c r="GK85" s="193"/>
      <c r="GL85" s="193"/>
      <c r="GM85" s="193"/>
      <c r="GN85" s="193"/>
      <c r="GO85" s="193"/>
      <c r="GP85" s="193"/>
      <c r="GQ85" s="193"/>
      <c r="GR85" s="193"/>
      <c r="GS85" s="193"/>
      <c r="GT85" s="193"/>
      <c r="GU85" s="193"/>
      <c r="GV85" s="193"/>
      <c r="GW85" s="193"/>
      <c r="GX85" s="193"/>
      <c r="GY85" s="193"/>
      <c r="GZ85" s="193"/>
      <c r="HA85" s="193"/>
      <c r="HB85" s="193"/>
      <c r="HC85" s="193"/>
      <c r="HD85" s="193"/>
      <c r="HE85" s="193"/>
      <c r="HF85" s="193"/>
      <c r="HG85" s="193"/>
      <c r="HH85" s="193"/>
      <c r="HI85" s="193"/>
      <c r="HJ85" s="193"/>
      <c r="HK85" s="193"/>
      <c r="HL85" s="193"/>
      <c r="HM85" s="193"/>
      <c r="HN85" s="193"/>
      <c r="HO85" s="193"/>
      <c r="HP85" s="193"/>
      <c r="HQ85" s="193"/>
      <c r="HR85" s="193"/>
      <c r="HS85" s="193"/>
      <c r="HT85" s="193"/>
      <c r="HU85" s="193"/>
      <c r="HV85" s="193"/>
      <c r="HW85" s="193"/>
      <c r="HX85" s="193"/>
      <c r="HY85" s="193"/>
      <c r="HZ85" s="193"/>
      <c r="IA85" s="193"/>
      <c r="IB85" s="193"/>
      <c r="IC85" s="193"/>
      <c r="ID85" s="193"/>
      <c r="IE85" s="193"/>
      <c r="IF85" s="193"/>
      <c r="IG85" s="193"/>
      <c r="IH85" s="193"/>
      <c r="II85" s="193"/>
      <c r="IJ85" s="193"/>
      <c r="IK85" s="193"/>
      <c r="IL85" s="193"/>
      <c r="IM85" s="193"/>
      <c r="IN85" s="193"/>
      <c r="IO85" s="193"/>
      <c r="IP85" s="193"/>
      <c r="IQ85" s="193"/>
      <c r="IR85" s="193"/>
      <c r="IS85" s="193"/>
      <c r="IT85" s="193"/>
      <c r="IU85" s="193"/>
      <c r="IV85" s="193"/>
    </row>
    <row r="86" spans="1:256" s="309" customFormat="1" ht="16.5" customHeight="1" x14ac:dyDescent="0.2">
      <c r="A86" s="235" t="str">
        <f>'Common-size FS'!A82</f>
        <v>Other income (expense)</v>
      </c>
      <c r="B86" s="96"/>
      <c r="C86" s="96"/>
      <c r="D86" s="96"/>
      <c r="E86" s="96"/>
      <c r="F86" s="96"/>
      <c r="G86" s="96"/>
      <c r="H86" s="718"/>
      <c r="I86" s="718"/>
      <c r="J86" s="718"/>
      <c r="K86" s="718"/>
      <c r="L86" s="718"/>
      <c r="M86" s="718"/>
      <c r="N86" s="718"/>
      <c r="O86" s="718"/>
      <c r="P86" s="718"/>
      <c r="Q86" s="718"/>
      <c r="R86" s="718"/>
      <c r="S86" s="718"/>
      <c r="T86" s="718"/>
      <c r="U86" s="718"/>
      <c r="V86" s="718"/>
      <c r="W86" s="718"/>
      <c r="X86" s="718"/>
      <c r="Y86" s="718"/>
      <c r="Z86" s="718"/>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c r="BX86" s="96"/>
      <c r="BY86" s="96"/>
      <c r="BZ86" s="96"/>
      <c r="CA86" s="96"/>
      <c r="CB86" s="96"/>
      <c r="CC86" s="96"/>
      <c r="CD86" s="96"/>
      <c r="CE86" s="96"/>
      <c r="CF86" s="96"/>
      <c r="CG86" s="96"/>
      <c r="CH86" s="96"/>
      <c r="CI86" s="96"/>
      <c r="CJ86" s="96"/>
      <c r="CK86" s="96"/>
      <c r="CL86" s="96"/>
      <c r="CM86" s="96"/>
      <c r="CN86" s="96"/>
      <c r="CO86" s="96"/>
      <c r="CP86" s="96"/>
      <c r="CQ86" s="96"/>
      <c r="CR86" s="96"/>
      <c r="CS86" s="96"/>
      <c r="CT86" s="96"/>
      <c r="CU86" s="96"/>
      <c r="CV86" s="96"/>
      <c r="CW86" s="96"/>
      <c r="CX86" s="96"/>
      <c r="CY86" s="96"/>
      <c r="CZ86" s="96"/>
      <c r="DA86" s="96"/>
      <c r="DB86" s="96"/>
      <c r="DC86" s="96"/>
      <c r="DD86" s="96"/>
      <c r="DE86" s="96"/>
      <c r="DF86" s="96"/>
      <c r="DG86" s="96"/>
      <c r="DH86" s="96"/>
      <c r="DI86" s="96"/>
      <c r="DJ86" s="96"/>
      <c r="DK86" s="96"/>
      <c r="DL86" s="96"/>
      <c r="DM86" s="96"/>
      <c r="DN86" s="96"/>
      <c r="DO86" s="96"/>
      <c r="DP86" s="96"/>
      <c r="DQ86" s="96"/>
      <c r="DR86" s="96"/>
      <c r="DS86" s="96"/>
      <c r="DT86" s="96"/>
      <c r="DU86" s="96"/>
      <c r="DV86" s="96"/>
      <c r="DW86" s="96"/>
      <c r="DX86" s="96"/>
      <c r="DY86" s="96"/>
      <c r="DZ86" s="96"/>
      <c r="EA86" s="96"/>
      <c r="EB86" s="96"/>
      <c r="EC86" s="96"/>
      <c r="ED86" s="96"/>
      <c r="EE86" s="96"/>
      <c r="EF86" s="96"/>
      <c r="EG86" s="96"/>
      <c r="EH86" s="96"/>
      <c r="EI86" s="96"/>
      <c r="EJ86" s="96"/>
      <c r="EK86" s="96"/>
      <c r="EL86" s="96"/>
      <c r="EM86" s="96"/>
      <c r="EN86" s="96"/>
      <c r="EO86" s="96"/>
      <c r="EP86" s="96"/>
      <c r="EQ86" s="96"/>
      <c r="ER86" s="96"/>
      <c r="ES86" s="96"/>
      <c r="ET86" s="96"/>
      <c r="EU86" s="96"/>
      <c r="EV86" s="96"/>
      <c r="EW86" s="96"/>
      <c r="EX86" s="96"/>
      <c r="EY86" s="96"/>
      <c r="EZ86" s="96"/>
      <c r="FA86" s="96"/>
      <c r="FB86" s="96"/>
      <c r="FC86" s="96"/>
      <c r="FD86" s="96"/>
      <c r="FE86" s="96"/>
      <c r="FF86" s="96"/>
      <c r="FG86" s="96"/>
      <c r="FH86" s="96"/>
      <c r="FI86" s="96"/>
      <c r="FJ86" s="96"/>
      <c r="FK86" s="96"/>
      <c r="FL86" s="96"/>
      <c r="FM86" s="96"/>
      <c r="FN86" s="96"/>
      <c r="FO86" s="96"/>
      <c r="FP86" s="96"/>
      <c r="FQ86" s="96"/>
      <c r="FR86" s="96"/>
      <c r="FS86" s="96"/>
      <c r="FT86" s="96"/>
      <c r="FU86" s="96"/>
      <c r="FV86" s="96"/>
      <c r="FW86" s="96"/>
      <c r="FX86" s="96"/>
      <c r="FY86" s="96"/>
      <c r="FZ86" s="96"/>
      <c r="GA86" s="96"/>
      <c r="GB86" s="96"/>
      <c r="GC86" s="96"/>
      <c r="GD86" s="96"/>
      <c r="GE86" s="96"/>
      <c r="GF86" s="96"/>
      <c r="GG86" s="96"/>
      <c r="GH86" s="96"/>
      <c r="GI86" s="96"/>
      <c r="GJ86" s="96"/>
      <c r="GK86" s="96"/>
      <c r="GL86" s="96"/>
      <c r="GM86" s="96"/>
      <c r="GN86" s="96"/>
      <c r="GO86" s="96"/>
      <c r="GP86" s="96"/>
      <c r="GQ86" s="96"/>
      <c r="GR86" s="96"/>
      <c r="GS86" s="96"/>
      <c r="GT86" s="96"/>
      <c r="GU86" s="96"/>
      <c r="GV86" s="96"/>
      <c r="GW86" s="96"/>
      <c r="GX86" s="96"/>
      <c r="GY86" s="96"/>
      <c r="GZ86" s="96"/>
      <c r="HA86" s="96"/>
      <c r="HB86" s="96"/>
      <c r="HC86" s="96"/>
      <c r="HD86" s="96"/>
      <c r="HE86" s="96"/>
      <c r="HF86" s="96"/>
      <c r="HG86" s="96"/>
      <c r="HH86" s="96"/>
      <c r="HI86" s="96"/>
      <c r="HJ86" s="96"/>
      <c r="HK86" s="96"/>
      <c r="HL86" s="96"/>
      <c r="HM86" s="96"/>
      <c r="HN86" s="96"/>
      <c r="HO86" s="96"/>
      <c r="HP86" s="96"/>
      <c r="HQ86" s="96"/>
      <c r="HR86" s="96"/>
      <c r="HS86" s="96"/>
      <c r="HT86" s="96"/>
      <c r="HU86" s="96"/>
      <c r="HV86" s="96"/>
      <c r="HW86" s="96"/>
      <c r="HX86" s="96"/>
      <c r="HY86" s="96"/>
      <c r="HZ86" s="96"/>
      <c r="IA86" s="96"/>
      <c r="IB86" s="96"/>
      <c r="IC86" s="96"/>
      <c r="ID86" s="96"/>
      <c r="IE86" s="96"/>
      <c r="IF86" s="96"/>
      <c r="IG86" s="96"/>
      <c r="IH86" s="96"/>
      <c r="II86" s="96"/>
      <c r="IJ86" s="96"/>
      <c r="IK86" s="96"/>
      <c r="IL86" s="96"/>
      <c r="IM86" s="96"/>
      <c r="IN86" s="96"/>
      <c r="IO86" s="96"/>
      <c r="IP86" s="96"/>
      <c r="IQ86" s="96"/>
      <c r="IR86" s="96"/>
      <c r="IS86" s="96"/>
      <c r="IT86" s="96"/>
      <c r="IU86" s="96"/>
      <c r="IV86" s="96"/>
    </row>
    <row r="87" spans="1:256" s="224" customFormat="1" ht="16.5" customHeight="1" x14ac:dyDescent="0.2">
      <c r="A87" s="32" t="str">
        <f>'Common-size FS'!A83</f>
        <v>Interest expense, net of interest income</v>
      </c>
      <c r="B87" s="27">
        <f>'Common-size FS'!B83</f>
        <v>-127</v>
      </c>
      <c r="C87" s="27">
        <f>'Common-size FS'!C83</f>
        <v>-180</v>
      </c>
      <c r="D87" s="27">
        <f>'Common-size FS'!D83</f>
        <v>-209</v>
      </c>
      <c r="E87" s="27">
        <f>'Common-size FS'!E83</f>
        <v>-238</v>
      </c>
      <c r="F87" s="27">
        <f>'Common-size FS'!F83</f>
        <v>-232</v>
      </c>
      <c r="G87" s="27">
        <f>'Common-size FS'!G83</f>
        <v>-240</v>
      </c>
      <c r="H87" s="718"/>
      <c r="I87" s="718"/>
      <c r="J87" s="718"/>
      <c r="K87" s="718"/>
      <c r="L87" s="718"/>
      <c r="M87" s="718"/>
      <c r="N87" s="718"/>
      <c r="O87" s="718"/>
      <c r="P87" s="718"/>
      <c r="Q87" s="718"/>
      <c r="R87" s="718"/>
      <c r="S87" s="718"/>
      <c r="T87" s="718"/>
      <c r="U87" s="718"/>
      <c r="V87" s="718"/>
      <c r="W87" s="718"/>
      <c r="X87" s="718"/>
      <c r="Y87" s="718"/>
      <c r="Z87" s="718"/>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c r="BX87" s="96"/>
      <c r="BY87" s="96"/>
      <c r="BZ87" s="96"/>
      <c r="CA87" s="96"/>
      <c r="CB87" s="96"/>
      <c r="CC87" s="96"/>
      <c r="CD87" s="96"/>
      <c r="CE87" s="96"/>
      <c r="CF87" s="96"/>
      <c r="CG87" s="96"/>
      <c r="CH87" s="96"/>
      <c r="CI87" s="96"/>
      <c r="CJ87" s="96"/>
      <c r="CK87" s="96"/>
      <c r="CL87" s="96"/>
      <c r="CM87" s="96"/>
      <c r="CN87" s="96"/>
      <c r="CO87" s="96"/>
      <c r="CP87" s="96"/>
      <c r="CQ87" s="96"/>
      <c r="CR87" s="96"/>
      <c r="CS87" s="96"/>
      <c r="CT87" s="96"/>
      <c r="CU87" s="96"/>
      <c r="CV87" s="96"/>
      <c r="CW87" s="96"/>
      <c r="CX87" s="96"/>
      <c r="CY87" s="96"/>
      <c r="CZ87" s="96"/>
      <c r="DA87" s="96"/>
      <c r="DB87" s="96"/>
      <c r="DC87" s="96"/>
      <c r="DD87" s="96"/>
      <c r="DE87" s="96"/>
      <c r="DF87" s="96"/>
      <c r="DG87" s="96"/>
      <c r="DH87" s="96"/>
      <c r="DI87" s="96"/>
      <c r="DJ87" s="96"/>
      <c r="DK87" s="96"/>
      <c r="DL87" s="96"/>
      <c r="DM87" s="96"/>
      <c r="DN87" s="96"/>
      <c r="DO87" s="96"/>
      <c r="DP87" s="96"/>
      <c r="DQ87" s="96"/>
      <c r="DR87" s="96"/>
      <c r="DS87" s="96"/>
      <c r="DT87" s="96"/>
      <c r="DU87" s="96"/>
      <c r="DV87" s="96"/>
      <c r="DW87" s="96"/>
      <c r="DX87" s="96"/>
      <c r="DY87" s="96"/>
      <c r="DZ87" s="96"/>
      <c r="EA87" s="96"/>
      <c r="EB87" s="96"/>
      <c r="EC87" s="96"/>
      <c r="ED87" s="96"/>
      <c r="EE87" s="96"/>
      <c r="EF87" s="96"/>
      <c r="EG87" s="96"/>
      <c r="EH87" s="96"/>
      <c r="EI87" s="96"/>
      <c r="EJ87" s="96"/>
      <c r="EK87" s="96"/>
      <c r="EL87" s="96"/>
      <c r="EM87" s="96"/>
      <c r="EN87" s="96"/>
      <c r="EO87" s="96"/>
      <c r="EP87" s="96"/>
      <c r="EQ87" s="96"/>
      <c r="ER87" s="96"/>
      <c r="ES87" s="96"/>
      <c r="ET87" s="96"/>
      <c r="EU87" s="96"/>
      <c r="EV87" s="96"/>
      <c r="EW87" s="96"/>
      <c r="EX87" s="96"/>
      <c r="EY87" s="96"/>
      <c r="EZ87" s="96"/>
      <c r="FA87" s="96"/>
      <c r="FB87" s="96"/>
      <c r="FC87" s="96"/>
      <c r="FD87" s="96"/>
      <c r="FE87" s="96"/>
      <c r="FF87" s="96"/>
      <c r="FG87" s="96"/>
      <c r="FH87" s="96"/>
      <c r="FI87" s="96"/>
      <c r="FJ87" s="96"/>
      <c r="FK87" s="96"/>
      <c r="FL87" s="96"/>
      <c r="FM87" s="96"/>
      <c r="FN87" s="96"/>
      <c r="FO87" s="96"/>
      <c r="FP87" s="96"/>
      <c r="FQ87" s="96"/>
      <c r="FR87" s="96"/>
      <c r="FS87" s="96"/>
      <c r="FT87" s="96"/>
      <c r="FU87" s="96"/>
      <c r="FV87" s="96"/>
      <c r="FW87" s="96"/>
      <c r="FX87" s="96"/>
      <c r="FY87" s="96"/>
      <c r="FZ87" s="96"/>
      <c r="GA87" s="96"/>
      <c r="GB87" s="96"/>
      <c r="GC87" s="96"/>
      <c r="GD87" s="96"/>
      <c r="GE87" s="96"/>
      <c r="GF87" s="96"/>
      <c r="GG87" s="96"/>
      <c r="GH87" s="96"/>
      <c r="GI87" s="96"/>
      <c r="GJ87" s="96"/>
      <c r="GK87" s="96"/>
      <c r="GL87" s="96"/>
      <c r="GM87" s="96"/>
      <c r="GN87" s="96"/>
      <c r="GO87" s="96"/>
      <c r="GP87" s="96"/>
      <c r="GQ87" s="96"/>
      <c r="GR87" s="96"/>
      <c r="GS87" s="96"/>
      <c r="GT87" s="96"/>
      <c r="GU87" s="96"/>
      <c r="GV87" s="96"/>
      <c r="GW87" s="96"/>
      <c r="GX87" s="96"/>
      <c r="GY87" s="96"/>
      <c r="GZ87" s="96"/>
      <c r="HA87" s="96"/>
      <c r="HB87" s="96"/>
      <c r="HC87" s="96"/>
      <c r="HD87" s="96"/>
      <c r="HE87" s="96"/>
      <c r="HF87" s="96"/>
      <c r="HG87" s="96"/>
      <c r="HH87" s="96"/>
      <c r="HI87" s="96"/>
      <c r="HJ87" s="96"/>
      <c r="HK87" s="96"/>
      <c r="HL87" s="96"/>
      <c r="HM87" s="96"/>
      <c r="HN87" s="96"/>
      <c r="HO87" s="96"/>
      <c r="HP87" s="96"/>
      <c r="HQ87" s="96"/>
      <c r="HR87" s="96"/>
      <c r="HS87" s="96"/>
      <c r="HT87" s="96"/>
      <c r="HU87" s="96"/>
      <c r="HV87" s="96"/>
      <c r="HW87" s="96"/>
      <c r="HX87" s="96"/>
      <c r="HY87" s="96"/>
      <c r="HZ87" s="96"/>
      <c r="IA87" s="96"/>
      <c r="IB87" s="96"/>
      <c r="IC87" s="96"/>
      <c r="ID87" s="96"/>
      <c r="IE87" s="96"/>
      <c r="IF87" s="96"/>
      <c r="IG87" s="96"/>
      <c r="IH87" s="96"/>
      <c r="II87" s="96"/>
      <c r="IJ87" s="96"/>
      <c r="IK87" s="96"/>
      <c r="IL87" s="96"/>
      <c r="IM87" s="96"/>
      <c r="IN87" s="96"/>
      <c r="IO87" s="96"/>
      <c r="IP87" s="96"/>
      <c r="IQ87" s="96"/>
      <c r="IR87" s="96"/>
      <c r="IS87" s="96"/>
      <c r="IT87" s="96"/>
      <c r="IU87" s="96"/>
      <c r="IV87" s="96"/>
    </row>
    <row r="88" spans="1:256" s="224" customFormat="1" ht="16.5" customHeight="1" x14ac:dyDescent="0.2">
      <c r="A88" s="32" t="str">
        <f>'Common-size FS'!A84</f>
        <v>Gain (loss) on spin-off of subsidiary</v>
      </c>
      <c r="B88" s="27">
        <f>'Common-size FS'!B84</f>
        <v>0</v>
      </c>
      <c r="C88" s="27">
        <f>'Common-size FS'!C84</f>
        <v>0</v>
      </c>
      <c r="D88" s="27">
        <f>'Common-size FS'!D84</f>
        <v>0</v>
      </c>
      <c r="E88" s="27">
        <f>'Common-size FS'!E84</f>
        <v>0</v>
      </c>
      <c r="F88" s="27">
        <f>'Common-size FS'!F84</f>
        <v>0</v>
      </c>
      <c r="G88" s="27">
        <f>'Common-size FS'!G84</f>
        <v>0</v>
      </c>
      <c r="H88" s="718"/>
      <c r="I88" s="718"/>
      <c r="J88" s="718"/>
      <c r="K88" s="718"/>
      <c r="L88" s="718"/>
      <c r="M88" s="718"/>
      <c r="N88" s="718"/>
      <c r="O88" s="718"/>
      <c r="P88" s="718"/>
      <c r="Q88" s="718"/>
      <c r="R88" s="718"/>
      <c r="S88" s="718"/>
      <c r="T88" s="718"/>
      <c r="U88" s="718"/>
      <c r="V88" s="718"/>
      <c r="W88" s="718"/>
      <c r="X88" s="718"/>
      <c r="Y88" s="718"/>
      <c r="Z88" s="718"/>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c r="BX88" s="96"/>
      <c r="BY88" s="96"/>
      <c r="BZ88" s="96"/>
      <c r="CA88" s="96"/>
      <c r="CB88" s="96"/>
      <c r="CC88" s="96"/>
      <c r="CD88" s="96"/>
      <c r="CE88" s="96"/>
      <c r="CF88" s="96"/>
      <c r="CG88" s="96"/>
      <c r="CH88" s="96"/>
      <c r="CI88" s="96"/>
      <c r="CJ88" s="96"/>
      <c r="CK88" s="96"/>
      <c r="CL88" s="96"/>
      <c r="CM88" s="96"/>
      <c r="CN88" s="96"/>
      <c r="CO88" s="96"/>
      <c r="CP88" s="96"/>
      <c r="CQ88" s="96"/>
      <c r="CR88" s="96"/>
      <c r="CS88" s="96"/>
      <c r="CT88" s="96"/>
      <c r="CU88" s="96"/>
      <c r="CV88" s="96"/>
      <c r="CW88" s="96"/>
      <c r="CX88" s="96"/>
      <c r="CY88" s="96"/>
      <c r="CZ88" s="96"/>
      <c r="DA88" s="96"/>
      <c r="DB88" s="96"/>
      <c r="DC88" s="96"/>
      <c r="DD88" s="96"/>
      <c r="DE88" s="96"/>
      <c r="DF88" s="96"/>
      <c r="DG88" s="96"/>
      <c r="DH88" s="96"/>
      <c r="DI88" s="96"/>
      <c r="DJ88" s="96"/>
      <c r="DK88" s="96"/>
      <c r="DL88" s="96"/>
      <c r="DM88" s="96"/>
      <c r="DN88" s="96"/>
      <c r="DO88" s="96"/>
      <c r="DP88" s="96"/>
      <c r="DQ88" s="96"/>
      <c r="DR88" s="96"/>
      <c r="DS88" s="96"/>
      <c r="DT88" s="96"/>
      <c r="DU88" s="96"/>
      <c r="DV88" s="96"/>
      <c r="DW88" s="96"/>
      <c r="DX88" s="96"/>
      <c r="DY88" s="96"/>
      <c r="DZ88" s="96"/>
      <c r="EA88" s="96"/>
      <c r="EB88" s="96"/>
      <c r="EC88" s="96"/>
      <c r="ED88" s="96"/>
      <c r="EE88" s="96"/>
      <c r="EF88" s="96"/>
      <c r="EG88" s="96"/>
      <c r="EH88" s="96"/>
      <c r="EI88" s="96"/>
      <c r="EJ88" s="96"/>
      <c r="EK88" s="96"/>
      <c r="EL88" s="96"/>
      <c r="EM88" s="96"/>
      <c r="EN88" s="96"/>
      <c r="EO88" s="96"/>
      <c r="EP88" s="96"/>
      <c r="EQ88" s="96"/>
      <c r="ER88" s="96"/>
      <c r="ES88" s="96"/>
      <c r="ET88" s="96"/>
      <c r="EU88" s="96"/>
      <c r="EV88" s="96"/>
      <c r="EW88" s="96"/>
      <c r="EX88" s="96"/>
      <c r="EY88" s="96"/>
      <c r="EZ88" s="96"/>
      <c r="FA88" s="96"/>
      <c r="FB88" s="96"/>
      <c r="FC88" s="96"/>
      <c r="FD88" s="96"/>
      <c r="FE88" s="96"/>
      <c r="FF88" s="96"/>
      <c r="FG88" s="96"/>
      <c r="FH88" s="96"/>
      <c r="FI88" s="96"/>
      <c r="FJ88" s="96"/>
      <c r="FK88" s="96"/>
      <c r="FL88" s="96"/>
      <c r="FM88" s="96"/>
      <c r="FN88" s="96"/>
      <c r="FO88" s="96"/>
      <c r="FP88" s="96"/>
      <c r="FQ88" s="96"/>
      <c r="FR88" s="96"/>
      <c r="FS88" s="96"/>
      <c r="FT88" s="96"/>
      <c r="FU88" s="96"/>
      <c r="FV88" s="96"/>
      <c r="FW88" s="96"/>
      <c r="FX88" s="96"/>
      <c r="FY88" s="96"/>
      <c r="FZ88" s="96"/>
      <c r="GA88" s="96"/>
      <c r="GB88" s="96"/>
      <c r="GC88" s="96"/>
      <c r="GD88" s="96"/>
      <c r="GE88" s="96"/>
      <c r="GF88" s="96"/>
      <c r="GG88" s="96"/>
      <c r="GH88" s="96"/>
      <c r="GI88" s="96"/>
      <c r="GJ88" s="96"/>
      <c r="GK88" s="96"/>
      <c r="GL88" s="96"/>
      <c r="GM88" s="96"/>
      <c r="GN88" s="96"/>
      <c r="GO88" s="96"/>
      <c r="GP88" s="96"/>
      <c r="GQ88" s="96"/>
      <c r="GR88" s="96"/>
      <c r="GS88" s="96"/>
      <c r="GT88" s="96"/>
      <c r="GU88" s="96"/>
      <c r="GV88" s="96"/>
      <c r="GW88" s="96"/>
      <c r="GX88" s="96"/>
      <c r="GY88" s="96"/>
      <c r="GZ88" s="96"/>
      <c r="HA88" s="96"/>
      <c r="HB88" s="96"/>
      <c r="HC88" s="96"/>
      <c r="HD88" s="96"/>
      <c r="HE88" s="96"/>
      <c r="HF88" s="96"/>
      <c r="HG88" s="96"/>
      <c r="HH88" s="96"/>
      <c r="HI88" s="96"/>
      <c r="HJ88" s="96"/>
      <c r="HK88" s="96"/>
      <c r="HL88" s="96"/>
      <c r="HM88" s="96"/>
      <c r="HN88" s="96"/>
      <c r="HO88" s="96"/>
      <c r="HP88" s="96"/>
      <c r="HQ88" s="96"/>
      <c r="HR88" s="96"/>
      <c r="HS88" s="96"/>
      <c r="HT88" s="96"/>
      <c r="HU88" s="96"/>
      <c r="HV88" s="96"/>
      <c r="HW88" s="96"/>
      <c r="HX88" s="96"/>
      <c r="HY88" s="96"/>
      <c r="HZ88" s="96"/>
      <c r="IA88" s="96"/>
      <c r="IB88" s="96"/>
      <c r="IC88" s="96"/>
      <c r="ID88" s="96"/>
      <c r="IE88" s="96"/>
      <c r="IF88" s="96"/>
      <c r="IG88" s="96"/>
      <c r="IH88" s="96"/>
      <c r="II88" s="96"/>
      <c r="IJ88" s="96"/>
      <c r="IK88" s="96"/>
      <c r="IL88" s="96"/>
      <c r="IM88" s="96"/>
      <c r="IN88" s="96"/>
      <c r="IO88" s="96"/>
      <c r="IP88" s="96"/>
      <c r="IQ88" s="96"/>
      <c r="IR88" s="96"/>
      <c r="IS88" s="96"/>
      <c r="IT88" s="96"/>
      <c r="IU88" s="96"/>
      <c r="IV88" s="96"/>
    </row>
    <row r="89" spans="1:256" s="224" customFormat="1" ht="16.5" customHeight="1" x14ac:dyDescent="0.2">
      <c r="A89" s="32" t="str">
        <f>'Common-size FS'!A85</f>
        <v>Gain (loss) on debt restruct/early extinguish</v>
      </c>
      <c r="B89" s="27">
        <f>'Common-size FS'!B85</f>
        <v>0</v>
      </c>
      <c r="C89" s="27">
        <f>'Common-size FS'!C85</f>
        <v>0</v>
      </c>
      <c r="D89" s="27">
        <f>'Common-size FS'!D85</f>
        <v>0</v>
      </c>
      <c r="E89" s="27">
        <f>'Common-size FS'!E85</f>
        <v>0</v>
      </c>
      <c r="F89" s="27">
        <f>'Common-size FS'!F85</f>
        <v>0</v>
      </c>
      <c r="G89" s="27">
        <f>'Common-size FS'!G85</f>
        <v>0</v>
      </c>
      <c r="H89" s="718"/>
      <c r="I89" s="718"/>
      <c r="J89" s="718"/>
      <c r="K89" s="718"/>
      <c r="L89" s="718"/>
      <c r="M89" s="718"/>
      <c r="N89" s="718"/>
      <c r="O89" s="718"/>
      <c r="P89" s="718"/>
      <c r="Q89" s="718"/>
      <c r="R89" s="718"/>
      <c r="S89" s="718"/>
      <c r="T89" s="718"/>
      <c r="U89" s="718"/>
      <c r="V89" s="718"/>
      <c r="W89" s="718"/>
      <c r="X89" s="718"/>
      <c r="Y89" s="718"/>
      <c r="Z89" s="718"/>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c r="CA89" s="96"/>
      <c r="CB89" s="96"/>
      <c r="CC89" s="96"/>
      <c r="CD89" s="96"/>
      <c r="CE89" s="96"/>
      <c r="CF89" s="96"/>
      <c r="CG89" s="96"/>
      <c r="CH89" s="96"/>
      <c r="CI89" s="96"/>
      <c r="CJ89" s="96"/>
      <c r="CK89" s="96"/>
      <c r="CL89" s="96"/>
      <c r="CM89" s="96"/>
      <c r="CN89" s="96"/>
      <c r="CO89" s="96"/>
      <c r="CP89" s="96"/>
      <c r="CQ89" s="96"/>
      <c r="CR89" s="96"/>
      <c r="CS89" s="96"/>
      <c r="CT89" s="96"/>
      <c r="CU89" s="96"/>
      <c r="CV89" s="96"/>
      <c r="CW89" s="96"/>
      <c r="CX89" s="96"/>
      <c r="CY89" s="96"/>
      <c r="CZ89" s="96"/>
      <c r="DA89" s="96"/>
      <c r="DB89" s="96"/>
      <c r="DC89" s="96"/>
      <c r="DD89" s="96"/>
      <c r="DE89" s="96"/>
      <c r="DF89" s="96"/>
      <c r="DG89" s="96"/>
      <c r="DH89" s="96"/>
      <c r="DI89" s="96"/>
      <c r="DJ89" s="96"/>
      <c r="DK89" s="96"/>
      <c r="DL89" s="96"/>
      <c r="DM89" s="96"/>
      <c r="DN89" s="96"/>
      <c r="DO89" s="96"/>
      <c r="DP89" s="96"/>
      <c r="DQ89" s="96"/>
      <c r="DR89" s="96"/>
      <c r="DS89" s="96"/>
      <c r="DT89" s="96"/>
      <c r="DU89" s="96"/>
      <c r="DV89" s="96"/>
      <c r="DW89" s="96"/>
      <c r="DX89" s="96"/>
      <c r="DY89" s="96"/>
      <c r="DZ89" s="96"/>
      <c r="EA89" s="96"/>
      <c r="EB89" s="96"/>
      <c r="EC89" s="96"/>
      <c r="ED89" s="96"/>
      <c r="EE89" s="96"/>
      <c r="EF89" s="96"/>
      <c r="EG89" s="96"/>
      <c r="EH89" s="96"/>
      <c r="EI89" s="96"/>
      <c r="EJ89" s="96"/>
      <c r="EK89" s="96"/>
      <c r="EL89" s="96"/>
      <c r="EM89" s="96"/>
      <c r="EN89" s="96"/>
      <c r="EO89" s="96"/>
      <c r="EP89" s="96"/>
      <c r="EQ89" s="96"/>
      <c r="ER89" s="96"/>
      <c r="ES89" s="96"/>
      <c r="ET89" s="96"/>
      <c r="EU89" s="96"/>
      <c r="EV89" s="96"/>
      <c r="EW89" s="96"/>
      <c r="EX89" s="96"/>
      <c r="EY89" s="96"/>
      <c r="EZ89" s="96"/>
      <c r="FA89" s="96"/>
      <c r="FB89" s="96"/>
      <c r="FC89" s="96"/>
      <c r="FD89" s="96"/>
      <c r="FE89" s="96"/>
      <c r="FF89" s="96"/>
      <c r="FG89" s="96"/>
      <c r="FH89" s="96"/>
      <c r="FI89" s="96"/>
      <c r="FJ89" s="96"/>
      <c r="FK89" s="96"/>
      <c r="FL89" s="96"/>
      <c r="FM89" s="96"/>
      <c r="FN89" s="96"/>
      <c r="FO89" s="96"/>
      <c r="FP89" s="96"/>
      <c r="FQ89" s="96"/>
      <c r="FR89" s="96"/>
      <c r="FS89" s="96"/>
      <c r="FT89" s="96"/>
      <c r="FU89" s="96"/>
      <c r="FV89" s="96"/>
      <c r="FW89" s="96"/>
      <c r="FX89" s="96"/>
      <c r="FY89" s="96"/>
      <c r="FZ89" s="96"/>
      <c r="GA89" s="96"/>
      <c r="GB89" s="96"/>
      <c r="GC89" s="96"/>
      <c r="GD89" s="96"/>
      <c r="GE89" s="96"/>
      <c r="GF89" s="96"/>
      <c r="GG89" s="96"/>
      <c r="GH89" s="96"/>
      <c r="GI89" s="96"/>
      <c r="GJ89" s="96"/>
      <c r="GK89" s="96"/>
      <c r="GL89" s="96"/>
      <c r="GM89" s="96"/>
      <c r="GN89" s="96"/>
      <c r="GO89" s="96"/>
      <c r="GP89" s="96"/>
      <c r="GQ89" s="96"/>
      <c r="GR89" s="96"/>
      <c r="GS89" s="96"/>
      <c r="GT89" s="96"/>
      <c r="GU89" s="96"/>
      <c r="GV89" s="96"/>
      <c r="GW89" s="96"/>
      <c r="GX89" s="96"/>
      <c r="GY89" s="96"/>
      <c r="GZ89" s="96"/>
      <c r="HA89" s="96"/>
      <c r="HB89" s="96"/>
      <c r="HC89" s="96"/>
      <c r="HD89" s="96"/>
      <c r="HE89" s="96"/>
      <c r="HF89" s="96"/>
      <c r="HG89" s="96"/>
      <c r="HH89" s="96"/>
      <c r="HI89" s="96"/>
      <c r="HJ89" s="96"/>
      <c r="HK89" s="96"/>
      <c r="HL89" s="96"/>
      <c r="HM89" s="96"/>
      <c r="HN89" s="96"/>
      <c r="HO89" s="96"/>
      <c r="HP89" s="96"/>
      <c r="HQ89" s="96"/>
      <c r="HR89" s="96"/>
      <c r="HS89" s="96"/>
      <c r="HT89" s="96"/>
      <c r="HU89" s="96"/>
      <c r="HV89" s="96"/>
      <c r="HW89" s="96"/>
      <c r="HX89" s="96"/>
      <c r="HY89" s="96"/>
      <c r="HZ89" s="96"/>
      <c r="IA89" s="96"/>
      <c r="IB89" s="96"/>
      <c r="IC89" s="96"/>
      <c r="ID89" s="96"/>
      <c r="IE89" s="96"/>
      <c r="IF89" s="96"/>
      <c r="IG89" s="96"/>
      <c r="IH89" s="96"/>
      <c r="II89" s="96"/>
      <c r="IJ89" s="96"/>
      <c r="IK89" s="96"/>
      <c r="IL89" s="96"/>
      <c r="IM89" s="96"/>
      <c r="IN89" s="96"/>
      <c r="IO89" s="96"/>
      <c r="IP89" s="96"/>
      <c r="IQ89" s="96"/>
      <c r="IR89" s="96"/>
      <c r="IS89" s="96"/>
      <c r="IT89" s="96"/>
      <c r="IU89" s="96"/>
      <c r="IV89" s="96"/>
    </row>
    <row r="90" spans="1:256" s="224" customFormat="1" ht="16.5" customHeight="1" x14ac:dyDescent="0.2">
      <c r="A90" s="32" t="str">
        <f>'Common-size FS'!A86</f>
        <v>Gain (loss) on disposal of credit card receivables</v>
      </c>
      <c r="B90" s="27">
        <f>'Common-size FS'!B86</f>
        <v>0</v>
      </c>
      <c r="C90" s="27">
        <f>'Common-size FS'!C86</f>
        <v>0</v>
      </c>
      <c r="D90" s="27">
        <f>'Common-size FS'!D86</f>
        <v>0</v>
      </c>
      <c r="E90" s="27">
        <f>'Common-size FS'!E86</f>
        <v>0</v>
      </c>
      <c r="F90" s="27">
        <f>'Common-size FS'!F86</f>
        <v>0</v>
      </c>
      <c r="G90" s="27">
        <f>'Common-size FS'!G86</f>
        <v>0</v>
      </c>
      <c r="H90" s="718"/>
      <c r="I90" s="718"/>
      <c r="J90" s="718"/>
      <c r="K90" s="718"/>
      <c r="L90" s="718"/>
      <c r="M90" s="718"/>
      <c r="N90" s="718"/>
      <c r="O90" s="718"/>
      <c r="P90" s="718"/>
      <c r="Q90" s="718"/>
      <c r="R90" s="718"/>
      <c r="S90" s="718"/>
      <c r="T90" s="718"/>
      <c r="U90" s="718"/>
      <c r="V90" s="718"/>
      <c r="W90" s="718"/>
      <c r="X90" s="718"/>
      <c r="Y90" s="718"/>
      <c r="Z90" s="718"/>
      <c r="AA90" s="96"/>
      <c r="AB90" s="96"/>
      <c r="AC90" s="96"/>
      <c r="AD90" s="96"/>
      <c r="AE90" s="96"/>
      <c r="AF90" s="96"/>
      <c r="AG90" s="96"/>
      <c r="AH90" s="96"/>
      <c r="AI90" s="96"/>
      <c r="AJ90" s="96"/>
      <c r="AK90" s="96"/>
      <c r="AL90" s="96"/>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c r="BN90" s="96"/>
      <c r="BO90" s="96"/>
      <c r="BP90" s="96"/>
      <c r="BQ90" s="96"/>
      <c r="BR90" s="96"/>
      <c r="BS90" s="96"/>
      <c r="BT90" s="96"/>
      <c r="BU90" s="96"/>
      <c r="BV90" s="96"/>
      <c r="BW90" s="96"/>
      <c r="BX90" s="96"/>
      <c r="BY90" s="96"/>
      <c r="BZ90" s="96"/>
      <c r="CA90" s="96"/>
      <c r="CB90" s="96"/>
      <c r="CC90" s="96"/>
      <c r="CD90" s="96"/>
      <c r="CE90" s="96"/>
      <c r="CF90" s="96"/>
      <c r="CG90" s="96"/>
      <c r="CH90" s="96"/>
      <c r="CI90" s="96"/>
      <c r="CJ90" s="96"/>
      <c r="CK90" s="96"/>
      <c r="CL90" s="96"/>
      <c r="CM90" s="96"/>
      <c r="CN90" s="96"/>
      <c r="CO90" s="96"/>
      <c r="CP90" s="96"/>
      <c r="CQ90" s="96"/>
      <c r="CR90" s="96"/>
      <c r="CS90" s="96"/>
      <c r="CT90" s="96"/>
      <c r="CU90" s="96"/>
      <c r="CV90" s="96"/>
      <c r="CW90" s="96"/>
      <c r="CX90" s="96"/>
      <c r="CY90" s="96"/>
      <c r="CZ90" s="96"/>
      <c r="DA90" s="96"/>
      <c r="DB90" s="96"/>
      <c r="DC90" s="96"/>
      <c r="DD90" s="96"/>
      <c r="DE90" s="96"/>
      <c r="DF90" s="96"/>
      <c r="DG90" s="96"/>
      <c r="DH90" s="96"/>
      <c r="DI90" s="96"/>
      <c r="DJ90" s="96"/>
      <c r="DK90" s="96"/>
      <c r="DL90" s="96"/>
      <c r="DM90" s="96"/>
      <c r="DN90" s="96"/>
      <c r="DO90" s="96"/>
      <c r="DP90" s="96"/>
      <c r="DQ90" s="96"/>
      <c r="DR90" s="96"/>
      <c r="DS90" s="96"/>
      <c r="DT90" s="96"/>
      <c r="DU90" s="96"/>
      <c r="DV90" s="96"/>
      <c r="DW90" s="96"/>
      <c r="DX90" s="96"/>
      <c r="DY90" s="96"/>
      <c r="DZ90" s="96"/>
      <c r="EA90" s="96"/>
      <c r="EB90" s="96"/>
      <c r="EC90" s="96"/>
      <c r="ED90" s="96"/>
      <c r="EE90" s="96"/>
      <c r="EF90" s="96"/>
      <c r="EG90" s="96"/>
      <c r="EH90" s="96"/>
      <c r="EI90" s="96"/>
      <c r="EJ90" s="96"/>
      <c r="EK90" s="96"/>
      <c r="EL90" s="96"/>
      <c r="EM90" s="96"/>
      <c r="EN90" s="96"/>
      <c r="EO90" s="96"/>
      <c r="EP90" s="96"/>
      <c r="EQ90" s="96"/>
      <c r="ER90" s="96"/>
      <c r="ES90" s="96"/>
      <c r="ET90" s="96"/>
      <c r="EU90" s="96"/>
      <c r="EV90" s="96"/>
      <c r="EW90" s="96"/>
      <c r="EX90" s="96"/>
      <c r="EY90" s="96"/>
      <c r="EZ90" s="96"/>
      <c r="FA90" s="96"/>
      <c r="FB90" s="96"/>
      <c r="FC90" s="96"/>
      <c r="FD90" s="96"/>
      <c r="FE90" s="96"/>
      <c r="FF90" s="96"/>
      <c r="FG90" s="96"/>
      <c r="FH90" s="96"/>
      <c r="FI90" s="96"/>
      <c r="FJ90" s="96"/>
      <c r="FK90" s="96"/>
      <c r="FL90" s="96"/>
      <c r="FM90" s="96"/>
      <c r="FN90" s="96"/>
      <c r="FO90" s="96"/>
      <c r="FP90" s="96"/>
      <c r="FQ90" s="96"/>
      <c r="FR90" s="96"/>
      <c r="FS90" s="96"/>
      <c r="FT90" s="96"/>
      <c r="FU90" s="96"/>
      <c r="FV90" s="96"/>
      <c r="FW90" s="96"/>
      <c r="FX90" s="96"/>
      <c r="FY90" s="96"/>
      <c r="FZ90" s="96"/>
      <c r="GA90" s="96"/>
      <c r="GB90" s="96"/>
      <c r="GC90" s="96"/>
      <c r="GD90" s="96"/>
      <c r="GE90" s="96"/>
      <c r="GF90" s="96"/>
      <c r="GG90" s="96"/>
      <c r="GH90" s="96"/>
      <c r="GI90" s="96"/>
      <c r="GJ90" s="96"/>
      <c r="GK90" s="96"/>
      <c r="GL90" s="96"/>
      <c r="GM90" s="96"/>
      <c r="GN90" s="96"/>
      <c r="GO90" s="96"/>
      <c r="GP90" s="96"/>
      <c r="GQ90" s="96"/>
      <c r="GR90" s="96"/>
      <c r="GS90" s="96"/>
      <c r="GT90" s="96"/>
      <c r="GU90" s="96"/>
      <c r="GV90" s="96"/>
      <c r="GW90" s="96"/>
      <c r="GX90" s="96"/>
      <c r="GY90" s="96"/>
      <c r="GZ90" s="96"/>
      <c r="HA90" s="96"/>
      <c r="HB90" s="96"/>
      <c r="HC90" s="96"/>
      <c r="HD90" s="96"/>
      <c r="HE90" s="96"/>
      <c r="HF90" s="96"/>
      <c r="HG90" s="96"/>
      <c r="HH90" s="96"/>
      <c r="HI90" s="96"/>
      <c r="HJ90" s="96"/>
      <c r="HK90" s="96"/>
      <c r="HL90" s="96"/>
      <c r="HM90" s="96"/>
      <c r="HN90" s="96"/>
      <c r="HO90" s="96"/>
      <c r="HP90" s="96"/>
      <c r="HQ90" s="96"/>
      <c r="HR90" s="96"/>
      <c r="HS90" s="96"/>
      <c r="HT90" s="96"/>
      <c r="HU90" s="96"/>
      <c r="HV90" s="96"/>
      <c r="HW90" s="96"/>
      <c r="HX90" s="96"/>
      <c r="HY90" s="96"/>
      <c r="HZ90" s="96"/>
      <c r="IA90" s="96"/>
      <c r="IB90" s="96"/>
      <c r="IC90" s="96"/>
      <c r="ID90" s="96"/>
      <c r="IE90" s="96"/>
      <c r="IF90" s="96"/>
      <c r="IG90" s="96"/>
      <c r="IH90" s="96"/>
      <c r="II90" s="96"/>
      <c r="IJ90" s="96"/>
      <c r="IK90" s="96"/>
      <c r="IL90" s="96"/>
      <c r="IM90" s="96"/>
      <c r="IN90" s="96"/>
      <c r="IO90" s="96"/>
      <c r="IP90" s="96"/>
      <c r="IQ90" s="96"/>
      <c r="IR90" s="96"/>
      <c r="IS90" s="96"/>
      <c r="IT90" s="96"/>
      <c r="IU90" s="96"/>
      <c r="IV90" s="96"/>
    </row>
    <row r="91" spans="1:256" s="224" customFormat="1" ht="16.5" customHeight="1" x14ac:dyDescent="0.2">
      <c r="A91" s="32" t="str">
        <f>'Common-size FS'!A87</f>
        <v>Gain (loss) on disposal of PP&amp;E</v>
      </c>
      <c r="B91" s="27">
        <f>'Common-size FS'!B87</f>
        <v>0</v>
      </c>
      <c r="C91" s="27">
        <f>'Common-size FS'!C87</f>
        <v>0</v>
      </c>
      <c r="D91" s="27">
        <f>'Common-size FS'!D87</f>
        <v>0</v>
      </c>
      <c r="E91" s="27">
        <f>'Common-size FS'!E87</f>
        <v>0</v>
      </c>
      <c r="F91" s="27">
        <f>'Common-size FS'!F87</f>
        <v>0</v>
      </c>
      <c r="G91" s="27">
        <f>'Common-size FS'!G87</f>
        <v>0</v>
      </c>
      <c r="H91" s="718"/>
      <c r="I91" s="718"/>
      <c r="J91" s="718"/>
      <c r="K91" s="718"/>
      <c r="L91" s="718"/>
      <c r="M91" s="718"/>
      <c r="N91" s="718"/>
      <c r="O91" s="718"/>
      <c r="P91" s="718"/>
      <c r="Q91" s="718"/>
      <c r="R91" s="718"/>
      <c r="S91" s="718"/>
      <c r="T91" s="718"/>
      <c r="U91" s="718"/>
      <c r="V91" s="718"/>
      <c r="W91" s="718"/>
      <c r="X91" s="718"/>
      <c r="Y91" s="718"/>
      <c r="Z91" s="718"/>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c r="BN91" s="96"/>
      <c r="BO91" s="96"/>
      <c r="BP91" s="96"/>
      <c r="BQ91" s="96"/>
      <c r="BR91" s="96"/>
      <c r="BS91" s="96"/>
      <c r="BT91" s="96"/>
      <c r="BU91" s="96"/>
      <c r="BV91" s="96"/>
      <c r="BW91" s="96"/>
      <c r="BX91" s="96"/>
      <c r="BY91" s="96"/>
      <c r="BZ91" s="96"/>
      <c r="CA91" s="96"/>
      <c r="CB91" s="96"/>
      <c r="CC91" s="96"/>
      <c r="CD91" s="96"/>
      <c r="CE91" s="96"/>
      <c r="CF91" s="96"/>
      <c r="CG91" s="96"/>
      <c r="CH91" s="96"/>
      <c r="CI91" s="96"/>
      <c r="CJ91" s="96"/>
      <c r="CK91" s="96"/>
      <c r="CL91" s="96"/>
      <c r="CM91" s="96"/>
      <c r="CN91" s="96"/>
      <c r="CO91" s="96"/>
      <c r="CP91" s="96"/>
      <c r="CQ91" s="96"/>
      <c r="CR91" s="96"/>
      <c r="CS91" s="96"/>
      <c r="CT91" s="96"/>
      <c r="CU91" s="96"/>
      <c r="CV91" s="96"/>
      <c r="CW91" s="96"/>
      <c r="CX91" s="96"/>
      <c r="CY91" s="96"/>
      <c r="CZ91" s="96"/>
      <c r="DA91" s="96"/>
      <c r="DB91" s="96"/>
      <c r="DC91" s="96"/>
      <c r="DD91" s="96"/>
      <c r="DE91" s="96"/>
      <c r="DF91" s="96"/>
      <c r="DG91" s="96"/>
      <c r="DH91" s="96"/>
      <c r="DI91" s="96"/>
      <c r="DJ91" s="96"/>
      <c r="DK91" s="96"/>
      <c r="DL91" s="96"/>
      <c r="DM91" s="96"/>
      <c r="DN91" s="96"/>
      <c r="DO91" s="96"/>
      <c r="DP91" s="96"/>
      <c r="DQ91" s="96"/>
      <c r="DR91" s="96"/>
      <c r="DS91" s="96"/>
      <c r="DT91" s="96"/>
      <c r="DU91" s="96"/>
      <c r="DV91" s="96"/>
      <c r="DW91" s="96"/>
      <c r="DX91" s="96"/>
      <c r="DY91" s="96"/>
      <c r="DZ91" s="96"/>
      <c r="EA91" s="96"/>
      <c r="EB91" s="96"/>
      <c r="EC91" s="96"/>
      <c r="ED91" s="96"/>
      <c r="EE91" s="96"/>
      <c r="EF91" s="96"/>
      <c r="EG91" s="96"/>
      <c r="EH91" s="96"/>
      <c r="EI91" s="96"/>
      <c r="EJ91" s="96"/>
      <c r="EK91" s="96"/>
      <c r="EL91" s="96"/>
      <c r="EM91" s="96"/>
      <c r="EN91" s="96"/>
      <c r="EO91" s="96"/>
      <c r="EP91" s="96"/>
      <c r="EQ91" s="96"/>
      <c r="ER91" s="96"/>
      <c r="ES91" s="96"/>
      <c r="ET91" s="96"/>
      <c r="EU91" s="96"/>
      <c r="EV91" s="96"/>
      <c r="EW91" s="96"/>
      <c r="EX91" s="96"/>
      <c r="EY91" s="96"/>
      <c r="EZ91" s="96"/>
      <c r="FA91" s="96"/>
      <c r="FB91" s="96"/>
      <c r="FC91" s="96"/>
      <c r="FD91" s="96"/>
      <c r="FE91" s="96"/>
      <c r="FF91" s="96"/>
      <c r="FG91" s="96"/>
      <c r="FH91" s="96"/>
      <c r="FI91" s="96"/>
      <c r="FJ91" s="96"/>
      <c r="FK91" s="96"/>
      <c r="FL91" s="96"/>
      <c r="FM91" s="96"/>
      <c r="FN91" s="96"/>
      <c r="FO91" s="96"/>
      <c r="FP91" s="96"/>
      <c r="FQ91" s="96"/>
      <c r="FR91" s="96"/>
      <c r="FS91" s="96"/>
      <c r="FT91" s="96"/>
      <c r="FU91" s="96"/>
      <c r="FV91" s="96"/>
      <c r="FW91" s="96"/>
      <c r="FX91" s="96"/>
      <c r="FY91" s="96"/>
      <c r="FZ91" s="96"/>
      <c r="GA91" s="96"/>
      <c r="GB91" s="96"/>
      <c r="GC91" s="96"/>
      <c r="GD91" s="96"/>
      <c r="GE91" s="96"/>
      <c r="GF91" s="96"/>
      <c r="GG91" s="96"/>
      <c r="GH91" s="96"/>
      <c r="GI91" s="96"/>
      <c r="GJ91" s="96"/>
      <c r="GK91" s="96"/>
      <c r="GL91" s="96"/>
      <c r="GM91" s="96"/>
      <c r="GN91" s="96"/>
      <c r="GO91" s="96"/>
      <c r="GP91" s="96"/>
      <c r="GQ91" s="96"/>
      <c r="GR91" s="96"/>
      <c r="GS91" s="96"/>
      <c r="GT91" s="96"/>
      <c r="GU91" s="96"/>
      <c r="GV91" s="96"/>
      <c r="GW91" s="96"/>
      <c r="GX91" s="96"/>
      <c r="GY91" s="96"/>
      <c r="GZ91" s="96"/>
      <c r="HA91" s="96"/>
      <c r="HB91" s="96"/>
      <c r="HC91" s="96"/>
      <c r="HD91" s="96"/>
      <c r="HE91" s="96"/>
      <c r="HF91" s="96"/>
      <c r="HG91" s="96"/>
      <c r="HH91" s="96"/>
      <c r="HI91" s="96"/>
      <c r="HJ91" s="96"/>
      <c r="HK91" s="96"/>
      <c r="HL91" s="96"/>
      <c r="HM91" s="96"/>
      <c r="HN91" s="96"/>
      <c r="HO91" s="96"/>
      <c r="HP91" s="96"/>
      <c r="HQ91" s="96"/>
      <c r="HR91" s="96"/>
      <c r="HS91" s="96"/>
      <c r="HT91" s="96"/>
      <c r="HU91" s="96"/>
      <c r="HV91" s="96"/>
      <c r="HW91" s="96"/>
      <c r="HX91" s="96"/>
      <c r="HY91" s="96"/>
      <c r="HZ91" s="96"/>
      <c r="IA91" s="96"/>
      <c r="IB91" s="96"/>
      <c r="IC91" s="96"/>
      <c r="ID91" s="96"/>
      <c r="IE91" s="96"/>
      <c r="IF91" s="96"/>
      <c r="IG91" s="96"/>
      <c r="IH91" s="96"/>
      <c r="II91" s="96"/>
      <c r="IJ91" s="96"/>
      <c r="IK91" s="96"/>
      <c r="IL91" s="96"/>
      <c r="IM91" s="96"/>
      <c r="IN91" s="96"/>
      <c r="IO91" s="96"/>
      <c r="IP91" s="96"/>
      <c r="IQ91" s="96"/>
      <c r="IR91" s="96"/>
      <c r="IS91" s="96"/>
      <c r="IT91" s="96"/>
      <c r="IU91" s="96"/>
      <c r="IV91" s="96"/>
    </row>
    <row r="92" spans="1:256" s="224" customFormat="1" ht="16.5" customHeight="1" x14ac:dyDescent="0.2">
      <c r="A92" s="32" t="str">
        <f>'Common-size FS'!A88</f>
        <v>Impairment loss on PP&amp;E</v>
      </c>
      <c r="B92" s="27">
        <f>'Common-size FS'!B88</f>
        <v>0</v>
      </c>
      <c r="C92" s="27">
        <f>'Common-size FS'!C88</f>
        <v>0</v>
      </c>
      <c r="D92" s="27">
        <f>'Common-size FS'!D88</f>
        <v>0</v>
      </c>
      <c r="E92" s="27">
        <f>'Common-size FS'!E88</f>
        <v>0</v>
      </c>
      <c r="F92" s="27">
        <f>'Common-size FS'!F88</f>
        <v>0</v>
      </c>
      <c r="G92" s="27">
        <f>'Common-size FS'!G88</f>
        <v>0</v>
      </c>
      <c r="H92" s="718"/>
      <c r="I92" s="718"/>
      <c r="J92" s="718"/>
      <c r="K92" s="718"/>
      <c r="L92" s="718"/>
      <c r="M92" s="718"/>
      <c r="N92" s="718"/>
      <c r="O92" s="718"/>
      <c r="P92" s="718"/>
      <c r="Q92" s="718"/>
      <c r="R92" s="718"/>
      <c r="S92" s="718"/>
      <c r="T92" s="718"/>
      <c r="U92" s="718"/>
      <c r="V92" s="718"/>
      <c r="W92" s="718"/>
      <c r="X92" s="718"/>
      <c r="Y92" s="718"/>
      <c r="Z92" s="718"/>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c r="BN92" s="96"/>
      <c r="BO92" s="96"/>
      <c r="BP92" s="96"/>
      <c r="BQ92" s="96"/>
      <c r="BR92" s="96"/>
      <c r="BS92" s="96"/>
      <c r="BT92" s="96"/>
      <c r="BU92" s="96"/>
      <c r="BV92" s="96"/>
      <c r="BW92" s="96"/>
      <c r="BX92" s="96"/>
      <c r="BY92" s="96"/>
      <c r="BZ92" s="96"/>
      <c r="CA92" s="96"/>
      <c r="CB92" s="96"/>
      <c r="CC92" s="96"/>
      <c r="CD92" s="96"/>
      <c r="CE92" s="96"/>
      <c r="CF92" s="96"/>
      <c r="CG92" s="96"/>
      <c r="CH92" s="96"/>
      <c r="CI92" s="96"/>
      <c r="CJ92" s="96"/>
      <c r="CK92" s="96"/>
      <c r="CL92" s="96"/>
      <c r="CM92" s="96"/>
      <c r="CN92" s="96"/>
      <c r="CO92" s="96"/>
      <c r="CP92" s="96"/>
      <c r="CQ92" s="96"/>
      <c r="CR92" s="96"/>
      <c r="CS92" s="96"/>
      <c r="CT92" s="96"/>
      <c r="CU92" s="96"/>
      <c r="CV92" s="96"/>
      <c r="CW92" s="96"/>
      <c r="CX92" s="96"/>
      <c r="CY92" s="96"/>
      <c r="CZ92" s="96"/>
      <c r="DA92" s="96"/>
      <c r="DB92" s="96"/>
      <c r="DC92" s="96"/>
      <c r="DD92" s="96"/>
      <c r="DE92" s="96"/>
      <c r="DF92" s="96"/>
      <c r="DG92" s="96"/>
      <c r="DH92" s="96"/>
      <c r="DI92" s="96"/>
      <c r="DJ92" s="96"/>
      <c r="DK92" s="96"/>
      <c r="DL92" s="96"/>
      <c r="DM92" s="96"/>
      <c r="DN92" s="96"/>
      <c r="DO92" s="96"/>
      <c r="DP92" s="96"/>
      <c r="DQ92" s="96"/>
      <c r="DR92" s="96"/>
      <c r="DS92" s="96"/>
      <c r="DT92" s="96"/>
      <c r="DU92" s="96"/>
      <c r="DV92" s="96"/>
      <c r="DW92" s="96"/>
      <c r="DX92" s="96"/>
      <c r="DY92" s="96"/>
      <c r="DZ92" s="96"/>
      <c r="EA92" s="96"/>
      <c r="EB92" s="96"/>
      <c r="EC92" s="96"/>
      <c r="ED92" s="96"/>
      <c r="EE92" s="96"/>
      <c r="EF92" s="96"/>
      <c r="EG92" s="96"/>
      <c r="EH92" s="96"/>
      <c r="EI92" s="96"/>
      <c r="EJ92" s="96"/>
      <c r="EK92" s="96"/>
      <c r="EL92" s="96"/>
      <c r="EM92" s="96"/>
      <c r="EN92" s="96"/>
      <c r="EO92" s="96"/>
      <c r="EP92" s="96"/>
      <c r="EQ92" s="96"/>
      <c r="ER92" s="96"/>
      <c r="ES92" s="96"/>
      <c r="ET92" s="96"/>
      <c r="EU92" s="96"/>
      <c r="EV92" s="96"/>
      <c r="EW92" s="96"/>
      <c r="EX92" s="96"/>
      <c r="EY92" s="96"/>
      <c r="EZ92" s="96"/>
      <c r="FA92" s="96"/>
      <c r="FB92" s="96"/>
      <c r="FC92" s="96"/>
      <c r="FD92" s="96"/>
      <c r="FE92" s="96"/>
      <c r="FF92" s="96"/>
      <c r="FG92" s="96"/>
      <c r="FH92" s="96"/>
      <c r="FI92" s="96"/>
      <c r="FJ92" s="96"/>
      <c r="FK92" s="96"/>
      <c r="FL92" s="96"/>
      <c r="FM92" s="96"/>
      <c r="FN92" s="96"/>
      <c r="FO92" s="96"/>
      <c r="FP92" s="96"/>
      <c r="FQ92" s="96"/>
      <c r="FR92" s="96"/>
      <c r="FS92" s="96"/>
      <c r="FT92" s="96"/>
      <c r="FU92" s="96"/>
      <c r="FV92" s="96"/>
      <c r="FW92" s="96"/>
      <c r="FX92" s="96"/>
      <c r="FY92" s="96"/>
      <c r="FZ92" s="96"/>
      <c r="GA92" s="96"/>
      <c r="GB92" s="96"/>
      <c r="GC92" s="96"/>
      <c r="GD92" s="96"/>
      <c r="GE92" s="96"/>
      <c r="GF92" s="96"/>
      <c r="GG92" s="96"/>
      <c r="GH92" s="96"/>
      <c r="GI92" s="96"/>
      <c r="GJ92" s="96"/>
      <c r="GK92" s="96"/>
      <c r="GL92" s="96"/>
      <c r="GM92" s="96"/>
      <c r="GN92" s="96"/>
      <c r="GO92" s="96"/>
      <c r="GP92" s="96"/>
      <c r="GQ92" s="96"/>
      <c r="GR92" s="96"/>
      <c r="GS92" s="96"/>
      <c r="GT92" s="96"/>
      <c r="GU92" s="96"/>
      <c r="GV92" s="96"/>
      <c r="GW92" s="96"/>
      <c r="GX92" s="96"/>
      <c r="GY92" s="96"/>
      <c r="GZ92" s="96"/>
      <c r="HA92" s="96"/>
      <c r="HB92" s="96"/>
      <c r="HC92" s="96"/>
      <c r="HD92" s="96"/>
      <c r="HE92" s="96"/>
      <c r="HF92" s="96"/>
      <c r="HG92" s="96"/>
      <c r="HH92" s="96"/>
      <c r="HI92" s="96"/>
      <c r="HJ92" s="96"/>
      <c r="HK92" s="96"/>
      <c r="HL92" s="96"/>
      <c r="HM92" s="96"/>
      <c r="HN92" s="96"/>
      <c r="HO92" s="96"/>
      <c r="HP92" s="96"/>
      <c r="HQ92" s="96"/>
      <c r="HR92" s="96"/>
      <c r="HS92" s="96"/>
      <c r="HT92" s="96"/>
      <c r="HU92" s="96"/>
      <c r="HV92" s="96"/>
      <c r="HW92" s="96"/>
      <c r="HX92" s="96"/>
      <c r="HY92" s="96"/>
      <c r="HZ92" s="96"/>
      <c r="IA92" s="96"/>
      <c r="IB92" s="96"/>
      <c r="IC92" s="96"/>
      <c r="ID92" s="96"/>
      <c r="IE92" s="96"/>
      <c r="IF92" s="96"/>
      <c r="IG92" s="96"/>
      <c r="IH92" s="96"/>
      <c r="II92" s="96"/>
      <c r="IJ92" s="96"/>
      <c r="IK92" s="96"/>
      <c r="IL92" s="96"/>
      <c r="IM92" s="96"/>
      <c r="IN92" s="96"/>
      <c r="IO92" s="96"/>
      <c r="IP92" s="96"/>
      <c r="IQ92" s="96"/>
      <c r="IR92" s="96"/>
      <c r="IS92" s="96"/>
      <c r="IT92" s="96"/>
      <c r="IU92" s="96"/>
      <c r="IV92" s="96"/>
    </row>
    <row r="93" spans="1:256" s="224" customFormat="1" ht="16.5" customHeight="1" x14ac:dyDescent="0.2">
      <c r="A93" s="32" t="str">
        <f>'Common-size FS'!A89</f>
        <v>Impairment loss on goodwill</v>
      </c>
      <c r="B93" s="27">
        <f>'Common-size FS'!B89</f>
        <v>0</v>
      </c>
      <c r="C93" s="27">
        <f>'Common-size FS'!C89</f>
        <v>0</v>
      </c>
      <c r="D93" s="27">
        <f>'Common-size FS'!D89</f>
        <v>0</v>
      </c>
      <c r="E93" s="27">
        <f>'Common-size FS'!E89</f>
        <v>0</v>
      </c>
      <c r="F93" s="27">
        <f>'Common-size FS'!F89</f>
        <v>0</v>
      </c>
      <c r="G93" s="27">
        <f>'Common-size FS'!G89</f>
        <v>0</v>
      </c>
      <c r="H93" s="718"/>
      <c r="I93" s="718"/>
      <c r="J93" s="718"/>
      <c r="K93" s="718"/>
      <c r="L93" s="718"/>
      <c r="M93" s="718"/>
      <c r="N93" s="718"/>
      <c r="O93" s="718"/>
      <c r="P93" s="718"/>
      <c r="Q93" s="718"/>
      <c r="R93" s="718"/>
      <c r="S93" s="718"/>
      <c r="T93" s="718"/>
      <c r="U93" s="718"/>
      <c r="V93" s="718"/>
      <c r="W93" s="718"/>
      <c r="X93" s="718"/>
      <c r="Y93" s="718"/>
      <c r="Z93" s="718"/>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c r="BX93" s="96"/>
      <c r="BY93" s="96"/>
      <c r="BZ93" s="96"/>
      <c r="CA93" s="96"/>
      <c r="CB93" s="96"/>
      <c r="CC93" s="96"/>
      <c r="CD93" s="96"/>
      <c r="CE93" s="96"/>
      <c r="CF93" s="96"/>
      <c r="CG93" s="96"/>
      <c r="CH93" s="96"/>
      <c r="CI93" s="96"/>
      <c r="CJ93" s="96"/>
      <c r="CK93" s="96"/>
      <c r="CL93" s="96"/>
      <c r="CM93" s="96"/>
      <c r="CN93" s="96"/>
      <c r="CO93" s="96"/>
      <c r="CP93" s="96"/>
      <c r="CQ93" s="96"/>
      <c r="CR93" s="96"/>
      <c r="CS93" s="96"/>
      <c r="CT93" s="96"/>
      <c r="CU93" s="96"/>
      <c r="CV93" s="96"/>
      <c r="CW93" s="96"/>
      <c r="CX93" s="96"/>
      <c r="CY93" s="96"/>
      <c r="CZ93" s="96"/>
      <c r="DA93" s="96"/>
      <c r="DB93" s="96"/>
      <c r="DC93" s="96"/>
      <c r="DD93" s="96"/>
      <c r="DE93" s="96"/>
      <c r="DF93" s="96"/>
      <c r="DG93" s="96"/>
      <c r="DH93" s="96"/>
      <c r="DI93" s="96"/>
      <c r="DJ93" s="96"/>
      <c r="DK93" s="96"/>
      <c r="DL93" s="96"/>
      <c r="DM93" s="96"/>
      <c r="DN93" s="96"/>
      <c r="DO93" s="96"/>
      <c r="DP93" s="96"/>
      <c r="DQ93" s="96"/>
      <c r="DR93" s="96"/>
      <c r="DS93" s="96"/>
      <c r="DT93" s="96"/>
      <c r="DU93" s="96"/>
      <c r="DV93" s="96"/>
      <c r="DW93" s="96"/>
      <c r="DX93" s="96"/>
      <c r="DY93" s="96"/>
      <c r="DZ93" s="96"/>
      <c r="EA93" s="96"/>
      <c r="EB93" s="96"/>
      <c r="EC93" s="96"/>
      <c r="ED93" s="96"/>
      <c r="EE93" s="96"/>
      <c r="EF93" s="96"/>
      <c r="EG93" s="96"/>
      <c r="EH93" s="96"/>
      <c r="EI93" s="96"/>
      <c r="EJ93" s="96"/>
      <c r="EK93" s="96"/>
      <c r="EL93" s="96"/>
      <c r="EM93" s="96"/>
      <c r="EN93" s="96"/>
      <c r="EO93" s="96"/>
      <c r="EP93" s="96"/>
      <c r="EQ93" s="96"/>
      <c r="ER93" s="96"/>
      <c r="ES93" s="96"/>
      <c r="ET93" s="96"/>
      <c r="EU93" s="96"/>
      <c r="EV93" s="96"/>
      <c r="EW93" s="96"/>
      <c r="EX93" s="96"/>
      <c r="EY93" s="96"/>
      <c r="EZ93" s="96"/>
      <c r="FA93" s="96"/>
      <c r="FB93" s="96"/>
      <c r="FC93" s="96"/>
      <c r="FD93" s="96"/>
      <c r="FE93" s="96"/>
      <c r="FF93" s="96"/>
      <c r="FG93" s="96"/>
      <c r="FH93" s="96"/>
      <c r="FI93" s="96"/>
      <c r="FJ93" s="96"/>
      <c r="FK93" s="96"/>
      <c r="FL93" s="96"/>
      <c r="FM93" s="96"/>
      <c r="FN93" s="96"/>
      <c r="FO93" s="96"/>
      <c r="FP93" s="96"/>
      <c r="FQ93" s="96"/>
      <c r="FR93" s="96"/>
      <c r="FS93" s="96"/>
      <c r="FT93" s="96"/>
      <c r="FU93" s="96"/>
      <c r="FV93" s="96"/>
      <c r="FW93" s="96"/>
      <c r="FX93" s="96"/>
      <c r="FY93" s="96"/>
      <c r="FZ93" s="96"/>
      <c r="GA93" s="96"/>
      <c r="GB93" s="96"/>
      <c r="GC93" s="96"/>
      <c r="GD93" s="96"/>
      <c r="GE93" s="96"/>
      <c r="GF93" s="96"/>
      <c r="GG93" s="96"/>
      <c r="GH93" s="96"/>
      <c r="GI93" s="96"/>
      <c r="GJ93" s="96"/>
      <c r="GK93" s="96"/>
      <c r="GL93" s="96"/>
      <c r="GM93" s="96"/>
      <c r="GN93" s="96"/>
      <c r="GO93" s="96"/>
      <c r="GP93" s="96"/>
      <c r="GQ93" s="96"/>
      <c r="GR93" s="96"/>
      <c r="GS93" s="96"/>
      <c r="GT93" s="96"/>
      <c r="GU93" s="96"/>
      <c r="GV93" s="96"/>
      <c r="GW93" s="96"/>
      <c r="GX93" s="96"/>
      <c r="GY93" s="96"/>
      <c r="GZ93" s="96"/>
      <c r="HA93" s="96"/>
      <c r="HB93" s="96"/>
      <c r="HC93" s="96"/>
      <c r="HD93" s="96"/>
      <c r="HE93" s="96"/>
      <c r="HF93" s="96"/>
      <c r="HG93" s="96"/>
      <c r="HH93" s="96"/>
      <c r="HI93" s="96"/>
      <c r="HJ93" s="96"/>
      <c r="HK93" s="96"/>
      <c r="HL93" s="96"/>
      <c r="HM93" s="96"/>
      <c r="HN93" s="96"/>
      <c r="HO93" s="96"/>
      <c r="HP93" s="96"/>
      <c r="HQ93" s="96"/>
      <c r="HR93" s="96"/>
      <c r="HS93" s="96"/>
      <c r="HT93" s="96"/>
      <c r="HU93" s="96"/>
      <c r="HV93" s="96"/>
      <c r="HW93" s="96"/>
      <c r="HX93" s="96"/>
      <c r="HY93" s="96"/>
      <c r="HZ93" s="96"/>
      <c r="IA93" s="96"/>
      <c r="IB93" s="96"/>
      <c r="IC93" s="96"/>
      <c r="ID93" s="96"/>
      <c r="IE93" s="96"/>
      <c r="IF93" s="96"/>
      <c r="IG93" s="96"/>
      <c r="IH93" s="96"/>
      <c r="II93" s="96"/>
      <c r="IJ93" s="96"/>
      <c r="IK93" s="96"/>
      <c r="IL93" s="96"/>
      <c r="IM93" s="96"/>
      <c r="IN93" s="96"/>
      <c r="IO93" s="96"/>
      <c r="IP93" s="96"/>
      <c r="IQ93" s="96"/>
      <c r="IR93" s="96"/>
      <c r="IS93" s="96"/>
      <c r="IT93" s="96"/>
      <c r="IU93" s="96"/>
      <c r="IV93" s="96"/>
    </row>
    <row r="94" spans="1:256" s="224" customFormat="1" ht="16.5" customHeight="1" x14ac:dyDescent="0.2">
      <c r="A94" s="32" t="str">
        <f>'Common-size FS'!A90</f>
        <v>Impairment of other intangibles</v>
      </c>
      <c r="B94" s="27">
        <f>'Common-size FS'!B90</f>
        <v>0</v>
      </c>
      <c r="C94" s="27">
        <f>'Common-size FS'!C90</f>
        <v>0</v>
      </c>
      <c r="D94" s="27">
        <f>'Common-size FS'!D90</f>
        <v>0</v>
      </c>
      <c r="E94" s="27">
        <f>'Common-size FS'!E90</f>
        <v>0</v>
      </c>
      <c r="F94" s="27">
        <f>'Common-size FS'!F90</f>
        <v>0</v>
      </c>
      <c r="G94" s="27">
        <f>'Common-size FS'!G90</f>
        <v>0</v>
      </c>
      <c r="H94" s="718"/>
      <c r="I94" s="718"/>
      <c r="J94" s="718"/>
      <c r="K94" s="718"/>
      <c r="L94" s="718"/>
      <c r="M94" s="718"/>
      <c r="N94" s="718"/>
      <c r="O94" s="718"/>
      <c r="P94" s="718"/>
      <c r="Q94" s="718"/>
      <c r="R94" s="718"/>
      <c r="S94" s="718"/>
      <c r="T94" s="718"/>
      <c r="U94" s="718"/>
      <c r="V94" s="718"/>
      <c r="W94" s="718"/>
      <c r="X94" s="718"/>
      <c r="Y94" s="718"/>
      <c r="Z94" s="718"/>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c r="BX94" s="96"/>
      <c r="BY94" s="96"/>
      <c r="BZ94" s="96"/>
      <c r="CA94" s="96"/>
      <c r="CB94" s="96"/>
      <c r="CC94" s="96"/>
      <c r="CD94" s="96"/>
      <c r="CE94" s="96"/>
      <c r="CF94" s="96"/>
      <c r="CG94" s="96"/>
      <c r="CH94" s="96"/>
      <c r="CI94" s="96"/>
      <c r="CJ94" s="96"/>
      <c r="CK94" s="96"/>
      <c r="CL94" s="96"/>
      <c r="CM94" s="96"/>
      <c r="CN94" s="96"/>
      <c r="CO94" s="96"/>
      <c r="CP94" s="96"/>
      <c r="CQ94" s="96"/>
      <c r="CR94" s="96"/>
      <c r="CS94" s="96"/>
      <c r="CT94" s="96"/>
      <c r="CU94" s="96"/>
      <c r="CV94" s="96"/>
      <c r="CW94" s="96"/>
      <c r="CX94" s="96"/>
      <c r="CY94" s="96"/>
      <c r="CZ94" s="96"/>
      <c r="DA94" s="96"/>
      <c r="DB94" s="96"/>
      <c r="DC94" s="96"/>
      <c r="DD94" s="96"/>
      <c r="DE94" s="96"/>
      <c r="DF94" s="96"/>
      <c r="DG94" s="96"/>
      <c r="DH94" s="96"/>
      <c r="DI94" s="96"/>
      <c r="DJ94" s="96"/>
      <c r="DK94" s="96"/>
      <c r="DL94" s="96"/>
      <c r="DM94" s="96"/>
      <c r="DN94" s="96"/>
      <c r="DO94" s="96"/>
      <c r="DP94" s="96"/>
      <c r="DQ94" s="96"/>
      <c r="DR94" s="96"/>
      <c r="DS94" s="96"/>
      <c r="DT94" s="96"/>
      <c r="DU94" s="96"/>
      <c r="DV94" s="96"/>
      <c r="DW94" s="96"/>
      <c r="DX94" s="96"/>
      <c r="DY94" s="96"/>
      <c r="DZ94" s="96"/>
      <c r="EA94" s="96"/>
      <c r="EB94" s="96"/>
      <c r="EC94" s="96"/>
      <c r="ED94" s="96"/>
      <c r="EE94" s="96"/>
      <c r="EF94" s="96"/>
      <c r="EG94" s="96"/>
      <c r="EH94" s="96"/>
      <c r="EI94" s="96"/>
      <c r="EJ94" s="96"/>
      <c r="EK94" s="96"/>
      <c r="EL94" s="96"/>
      <c r="EM94" s="96"/>
      <c r="EN94" s="96"/>
      <c r="EO94" s="96"/>
      <c r="EP94" s="96"/>
      <c r="EQ94" s="96"/>
      <c r="ER94" s="96"/>
      <c r="ES94" s="96"/>
      <c r="ET94" s="96"/>
      <c r="EU94" s="96"/>
      <c r="EV94" s="96"/>
      <c r="EW94" s="96"/>
      <c r="EX94" s="96"/>
      <c r="EY94" s="96"/>
      <c r="EZ94" s="96"/>
      <c r="FA94" s="96"/>
      <c r="FB94" s="96"/>
      <c r="FC94" s="96"/>
      <c r="FD94" s="96"/>
      <c r="FE94" s="96"/>
      <c r="FF94" s="96"/>
      <c r="FG94" s="96"/>
      <c r="FH94" s="96"/>
      <c r="FI94" s="96"/>
      <c r="FJ94" s="96"/>
      <c r="FK94" s="96"/>
      <c r="FL94" s="96"/>
      <c r="FM94" s="96"/>
      <c r="FN94" s="96"/>
      <c r="FO94" s="96"/>
      <c r="FP94" s="96"/>
      <c r="FQ94" s="96"/>
      <c r="FR94" s="96"/>
      <c r="FS94" s="96"/>
      <c r="FT94" s="96"/>
      <c r="FU94" s="96"/>
      <c r="FV94" s="96"/>
      <c r="FW94" s="96"/>
      <c r="FX94" s="96"/>
      <c r="FY94" s="96"/>
      <c r="FZ94" s="96"/>
      <c r="GA94" s="96"/>
      <c r="GB94" s="96"/>
      <c r="GC94" s="96"/>
      <c r="GD94" s="96"/>
      <c r="GE94" s="96"/>
      <c r="GF94" s="96"/>
      <c r="GG94" s="96"/>
      <c r="GH94" s="96"/>
      <c r="GI94" s="96"/>
      <c r="GJ94" s="96"/>
      <c r="GK94" s="96"/>
      <c r="GL94" s="96"/>
      <c r="GM94" s="96"/>
      <c r="GN94" s="96"/>
      <c r="GO94" s="96"/>
      <c r="GP94" s="96"/>
      <c r="GQ94" s="96"/>
      <c r="GR94" s="96"/>
      <c r="GS94" s="96"/>
      <c r="GT94" s="96"/>
      <c r="GU94" s="96"/>
      <c r="GV94" s="96"/>
      <c r="GW94" s="96"/>
      <c r="GX94" s="96"/>
      <c r="GY94" s="96"/>
      <c r="GZ94" s="96"/>
      <c r="HA94" s="96"/>
      <c r="HB94" s="96"/>
      <c r="HC94" s="96"/>
      <c r="HD94" s="96"/>
      <c r="HE94" s="96"/>
      <c r="HF94" s="96"/>
      <c r="HG94" s="96"/>
      <c r="HH94" s="96"/>
      <c r="HI94" s="96"/>
      <c r="HJ94" s="96"/>
      <c r="HK94" s="96"/>
      <c r="HL94" s="96"/>
      <c r="HM94" s="96"/>
      <c r="HN94" s="96"/>
      <c r="HO94" s="96"/>
      <c r="HP94" s="96"/>
      <c r="HQ94" s="96"/>
      <c r="HR94" s="96"/>
      <c r="HS94" s="96"/>
      <c r="HT94" s="96"/>
      <c r="HU94" s="96"/>
      <c r="HV94" s="96"/>
      <c r="HW94" s="96"/>
      <c r="HX94" s="96"/>
      <c r="HY94" s="96"/>
      <c r="HZ94" s="96"/>
      <c r="IA94" s="96"/>
      <c r="IB94" s="96"/>
      <c r="IC94" s="96"/>
      <c r="ID94" s="96"/>
      <c r="IE94" s="96"/>
      <c r="IF94" s="96"/>
      <c r="IG94" s="96"/>
      <c r="IH94" s="96"/>
      <c r="II94" s="96"/>
      <c r="IJ94" s="96"/>
      <c r="IK94" s="96"/>
      <c r="IL94" s="96"/>
      <c r="IM94" s="96"/>
      <c r="IN94" s="96"/>
      <c r="IO94" s="96"/>
      <c r="IP94" s="96"/>
      <c r="IQ94" s="96"/>
      <c r="IR94" s="96"/>
      <c r="IS94" s="96"/>
      <c r="IT94" s="96"/>
      <c r="IU94" s="96"/>
      <c r="IV94" s="96"/>
    </row>
    <row r="95" spans="1:256" s="492" customFormat="1" ht="16.5" customHeight="1" x14ac:dyDescent="0.2">
      <c r="A95" s="75" t="str">
        <f>'Common-size FS'!A91</f>
        <v>Restructuring charge</v>
      </c>
      <c r="B95" s="27">
        <f>'Common-size FS'!B91</f>
        <v>0</v>
      </c>
      <c r="C95" s="27">
        <f>'Common-size FS'!C91</f>
        <v>0</v>
      </c>
      <c r="D95" s="27">
        <f>'Common-size FS'!D91</f>
        <v>0</v>
      </c>
      <c r="E95" s="27">
        <f>'Common-size FS'!E91</f>
        <v>0</v>
      </c>
      <c r="F95" s="27">
        <f>'Common-size FS'!F91</f>
        <v>0</v>
      </c>
      <c r="G95" s="27">
        <f>'Common-size FS'!G91</f>
        <v>0</v>
      </c>
      <c r="H95" s="677"/>
      <c r="I95" s="677"/>
      <c r="J95" s="677"/>
      <c r="K95" s="677"/>
      <c r="L95" s="677"/>
      <c r="M95" s="677"/>
      <c r="N95" s="677"/>
      <c r="O95" s="677"/>
      <c r="P95" s="677"/>
      <c r="Q95" s="677"/>
      <c r="R95" s="677"/>
      <c r="S95" s="677"/>
      <c r="T95" s="677"/>
      <c r="U95" s="677"/>
      <c r="V95" s="677"/>
      <c r="W95" s="677"/>
      <c r="X95" s="677"/>
      <c r="Y95" s="677"/>
      <c r="Z95" s="677"/>
      <c r="AA95" s="193"/>
      <c r="AB95" s="193"/>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c r="BF95" s="193"/>
      <c r="BG95" s="193"/>
      <c r="BH95" s="193"/>
      <c r="BI95" s="193"/>
      <c r="BJ95" s="193"/>
      <c r="BK95" s="193"/>
      <c r="BL95" s="193"/>
      <c r="BM95" s="193"/>
      <c r="BN95" s="193"/>
      <c r="BO95" s="193"/>
      <c r="BP95" s="193"/>
      <c r="BQ95" s="193"/>
      <c r="BR95" s="193"/>
      <c r="BS95" s="193"/>
      <c r="BT95" s="193"/>
      <c r="BU95" s="193"/>
      <c r="BV95" s="193"/>
      <c r="BW95" s="193"/>
      <c r="BX95" s="193"/>
      <c r="BY95" s="193"/>
      <c r="BZ95" s="193"/>
      <c r="CA95" s="193"/>
      <c r="CB95" s="193"/>
      <c r="CC95" s="193"/>
      <c r="CD95" s="193"/>
      <c r="CE95" s="193"/>
      <c r="CF95" s="193"/>
      <c r="CG95" s="193"/>
      <c r="CH95" s="193"/>
      <c r="CI95" s="193"/>
      <c r="CJ95" s="193"/>
      <c r="CK95" s="193"/>
      <c r="CL95" s="193"/>
      <c r="CM95" s="193"/>
      <c r="CN95" s="193"/>
      <c r="CO95" s="193"/>
      <c r="CP95" s="193"/>
      <c r="CQ95" s="193"/>
      <c r="CR95" s="193"/>
      <c r="CS95" s="193"/>
      <c r="CT95" s="193"/>
      <c r="CU95" s="193"/>
      <c r="CV95" s="193"/>
      <c r="CW95" s="193"/>
      <c r="CX95" s="193"/>
      <c r="CY95" s="193"/>
      <c r="CZ95" s="193"/>
      <c r="DA95" s="193"/>
      <c r="DB95" s="193"/>
      <c r="DC95" s="193"/>
      <c r="DD95" s="193"/>
      <c r="DE95" s="193"/>
      <c r="DF95" s="193"/>
      <c r="DG95" s="193"/>
      <c r="DH95" s="193"/>
      <c r="DI95" s="193"/>
      <c r="DJ95" s="193"/>
      <c r="DK95" s="193"/>
      <c r="DL95" s="193"/>
      <c r="DM95" s="193"/>
      <c r="DN95" s="193"/>
      <c r="DO95" s="193"/>
      <c r="DP95" s="193"/>
      <c r="DQ95" s="193"/>
      <c r="DR95" s="193"/>
      <c r="DS95" s="193"/>
      <c r="DT95" s="193"/>
      <c r="DU95" s="193"/>
      <c r="DV95" s="193"/>
      <c r="DW95" s="193"/>
      <c r="DX95" s="193"/>
      <c r="DY95" s="193"/>
      <c r="DZ95" s="193"/>
      <c r="EA95" s="193"/>
      <c r="EB95" s="193"/>
      <c r="EC95" s="193"/>
      <c r="ED95" s="193"/>
      <c r="EE95" s="193"/>
      <c r="EF95" s="193"/>
      <c r="EG95" s="193"/>
      <c r="EH95" s="193"/>
      <c r="EI95" s="193"/>
      <c r="EJ95" s="193"/>
      <c r="EK95" s="193"/>
      <c r="EL95" s="193"/>
      <c r="EM95" s="193"/>
      <c r="EN95" s="193"/>
      <c r="EO95" s="193"/>
      <c r="EP95" s="193"/>
      <c r="EQ95" s="193"/>
      <c r="ER95" s="193"/>
      <c r="ES95" s="193"/>
      <c r="ET95" s="193"/>
      <c r="EU95" s="193"/>
      <c r="EV95" s="193"/>
      <c r="EW95" s="193"/>
      <c r="EX95" s="193"/>
      <c r="EY95" s="193"/>
      <c r="EZ95" s="193"/>
      <c r="FA95" s="193"/>
      <c r="FB95" s="193"/>
      <c r="FC95" s="193"/>
      <c r="FD95" s="193"/>
      <c r="FE95" s="193"/>
      <c r="FF95" s="193"/>
      <c r="FG95" s="193"/>
      <c r="FH95" s="193"/>
      <c r="FI95" s="193"/>
      <c r="FJ95" s="193"/>
      <c r="FK95" s="193"/>
      <c r="FL95" s="193"/>
      <c r="FM95" s="193"/>
      <c r="FN95" s="193"/>
      <c r="FO95" s="193"/>
      <c r="FP95" s="193"/>
      <c r="FQ95" s="193"/>
      <c r="FR95" s="193"/>
      <c r="FS95" s="193"/>
      <c r="FT95" s="193"/>
      <c r="FU95" s="193"/>
      <c r="FV95" s="193"/>
      <c r="FW95" s="193"/>
      <c r="FX95" s="193"/>
      <c r="FY95" s="193"/>
      <c r="FZ95" s="193"/>
      <c r="GA95" s="193"/>
      <c r="GB95" s="193"/>
      <c r="GC95" s="193"/>
      <c r="GD95" s="193"/>
      <c r="GE95" s="193"/>
      <c r="GF95" s="193"/>
      <c r="GG95" s="193"/>
      <c r="GH95" s="193"/>
      <c r="GI95" s="193"/>
      <c r="GJ95" s="193"/>
      <c r="GK95" s="193"/>
      <c r="GL95" s="193"/>
      <c r="GM95" s="193"/>
      <c r="GN95" s="193"/>
      <c r="GO95" s="193"/>
      <c r="GP95" s="193"/>
      <c r="GQ95" s="193"/>
      <c r="GR95" s="193"/>
      <c r="GS95" s="193"/>
      <c r="GT95" s="193"/>
      <c r="GU95" s="193"/>
      <c r="GV95" s="193"/>
      <c r="GW95" s="193"/>
      <c r="GX95" s="193"/>
      <c r="GY95" s="193"/>
      <c r="GZ95" s="193"/>
      <c r="HA95" s="193"/>
      <c r="HB95" s="193"/>
      <c r="HC95" s="193"/>
      <c r="HD95" s="193"/>
      <c r="HE95" s="193"/>
      <c r="HF95" s="193"/>
      <c r="HG95" s="193"/>
      <c r="HH95" s="193"/>
      <c r="HI95" s="193"/>
      <c r="HJ95" s="193"/>
      <c r="HK95" s="193"/>
      <c r="HL95" s="193"/>
      <c r="HM95" s="193"/>
      <c r="HN95" s="193"/>
      <c r="HO95" s="193"/>
      <c r="HP95" s="193"/>
      <c r="HQ95" s="193"/>
      <c r="HR95" s="193"/>
      <c r="HS95" s="193"/>
      <c r="HT95" s="193"/>
      <c r="HU95" s="193"/>
      <c r="HV95" s="193"/>
      <c r="HW95" s="193"/>
      <c r="HX95" s="193"/>
      <c r="HY95" s="193"/>
      <c r="HZ95" s="193"/>
      <c r="IA95" s="193"/>
      <c r="IB95" s="193"/>
      <c r="IC95" s="193"/>
      <c r="ID95" s="193"/>
      <c r="IE95" s="193"/>
      <c r="IF95" s="193"/>
      <c r="IG95" s="193"/>
      <c r="IH95" s="193"/>
      <c r="II95" s="193"/>
      <c r="IJ95" s="193"/>
      <c r="IK95" s="193"/>
      <c r="IL95" s="193"/>
      <c r="IM95" s="193"/>
      <c r="IN95" s="193"/>
      <c r="IO95" s="193"/>
      <c r="IP95" s="193"/>
      <c r="IQ95" s="193"/>
      <c r="IR95" s="193"/>
      <c r="IS95" s="193"/>
      <c r="IT95" s="193"/>
      <c r="IU95" s="193"/>
      <c r="IV95" s="193"/>
    </row>
    <row r="96" spans="1:256" s="534" customFormat="1" ht="16.5" customHeight="1" x14ac:dyDescent="0.2">
      <c r="A96" s="73" t="str">
        <f>'Common-size FS'!A92</f>
        <v>Total other income (expense)</v>
      </c>
      <c r="B96" s="256">
        <f>'Common-size FS'!B92</f>
        <v>-127</v>
      </c>
      <c r="C96" s="256">
        <f>'Common-size FS'!C92</f>
        <v>-180</v>
      </c>
      <c r="D96" s="256">
        <f>'Common-size FS'!D92</f>
        <v>-209</v>
      </c>
      <c r="E96" s="256">
        <f>'Common-size FS'!E92</f>
        <v>-238</v>
      </c>
      <c r="F96" s="256">
        <f>'Common-size FS'!F92</f>
        <v>-232</v>
      </c>
      <c r="G96" s="256">
        <f>'Common-size FS'!G92</f>
        <v>-240</v>
      </c>
      <c r="H96" s="729"/>
      <c r="I96" s="729"/>
      <c r="J96" s="729"/>
      <c r="K96" s="729"/>
      <c r="L96" s="729"/>
      <c r="M96" s="729"/>
      <c r="N96" s="729"/>
      <c r="O96" s="729"/>
      <c r="P96" s="729"/>
      <c r="Q96" s="729"/>
      <c r="R96" s="729"/>
      <c r="S96" s="729"/>
      <c r="T96" s="729"/>
      <c r="U96" s="729"/>
      <c r="V96" s="729"/>
      <c r="W96" s="729"/>
      <c r="X96" s="729"/>
      <c r="Y96" s="729"/>
      <c r="Z96" s="729"/>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6"/>
      <c r="BR96" s="166"/>
      <c r="BS96" s="166"/>
      <c r="BT96" s="166"/>
      <c r="BU96" s="166"/>
      <c r="BV96" s="166"/>
      <c r="BW96" s="166"/>
      <c r="BX96" s="166"/>
      <c r="BY96" s="166"/>
      <c r="BZ96" s="166"/>
      <c r="CA96" s="166"/>
      <c r="CB96" s="166"/>
      <c r="CC96" s="166"/>
      <c r="CD96" s="166"/>
      <c r="CE96" s="166"/>
      <c r="CF96" s="166"/>
      <c r="CG96" s="166"/>
      <c r="CH96" s="166"/>
      <c r="CI96" s="166"/>
      <c r="CJ96" s="166"/>
      <c r="CK96" s="166"/>
      <c r="CL96" s="166"/>
      <c r="CM96" s="166"/>
      <c r="CN96" s="166"/>
      <c r="CO96" s="166"/>
      <c r="CP96" s="166"/>
      <c r="CQ96" s="166"/>
      <c r="CR96" s="166"/>
      <c r="CS96" s="166"/>
      <c r="CT96" s="166"/>
      <c r="CU96" s="166"/>
      <c r="CV96" s="166"/>
      <c r="CW96" s="166"/>
      <c r="CX96" s="166"/>
      <c r="CY96" s="166"/>
      <c r="CZ96" s="166"/>
      <c r="DA96" s="166"/>
      <c r="DB96" s="166"/>
      <c r="DC96" s="166"/>
      <c r="DD96" s="166"/>
      <c r="DE96" s="166"/>
      <c r="DF96" s="166"/>
      <c r="DG96" s="166"/>
      <c r="DH96" s="166"/>
      <c r="DI96" s="166"/>
      <c r="DJ96" s="166"/>
      <c r="DK96" s="166"/>
      <c r="DL96" s="166"/>
      <c r="DM96" s="166"/>
      <c r="DN96" s="166"/>
      <c r="DO96" s="166"/>
      <c r="DP96" s="166"/>
      <c r="DQ96" s="166"/>
      <c r="DR96" s="166"/>
      <c r="DS96" s="166"/>
      <c r="DT96" s="166"/>
      <c r="DU96" s="166"/>
      <c r="DV96" s="166"/>
      <c r="DW96" s="166"/>
      <c r="DX96" s="166"/>
      <c r="DY96" s="166"/>
      <c r="DZ96" s="166"/>
      <c r="EA96" s="166"/>
      <c r="EB96" s="166"/>
      <c r="EC96" s="166"/>
      <c r="ED96" s="166"/>
      <c r="EE96" s="166"/>
      <c r="EF96" s="166"/>
      <c r="EG96" s="166"/>
      <c r="EH96" s="166"/>
      <c r="EI96" s="166"/>
      <c r="EJ96" s="166"/>
      <c r="EK96" s="166"/>
      <c r="EL96" s="166"/>
      <c r="EM96" s="166"/>
      <c r="EN96" s="166"/>
      <c r="EO96" s="166"/>
      <c r="EP96" s="166"/>
      <c r="EQ96" s="166"/>
      <c r="ER96" s="166"/>
      <c r="ES96" s="166"/>
      <c r="ET96" s="166"/>
      <c r="EU96" s="166"/>
      <c r="EV96" s="166"/>
      <c r="EW96" s="166"/>
      <c r="EX96" s="166"/>
      <c r="EY96" s="166"/>
      <c r="EZ96" s="166"/>
      <c r="FA96" s="166"/>
      <c r="FB96" s="166"/>
      <c r="FC96" s="166"/>
      <c r="FD96" s="166"/>
      <c r="FE96" s="166"/>
      <c r="FF96" s="166"/>
      <c r="FG96" s="166"/>
      <c r="FH96" s="166"/>
      <c r="FI96" s="166"/>
      <c r="FJ96" s="166"/>
      <c r="FK96" s="166"/>
      <c r="FL96" s="166"/>
      <c r="FM96" s="166"/>
      <c r="FN96" s="166"/>
      <c r="FO96" s="166"/>
      <c r="FP96" s="166"/>
      <c r="FQ96" s="166"/>
      <c r="FR96" s="166"/>
      <c r="FS96" s="166"/>
      <c r="FT96" s="166"/>
      <c r="FU96" s="166"/>
      <c r="FV96" s="166"/>
      <c r="FW96" s="166"/>
      <c r="FX96" s="166"/>
      <c r="FY96" s="166"/>
      <c r="FZ96" s="166"/>
      <c r="GA96" s="166"/>
      <c r="GB96" s="166"/>
      <c r="GC96" s="166"/>
      <c r="GD96" s="166"/>
      <c r="GE96" s="166"/>
      <c r="GF96" s="166"/>
      <c r="GG96" s="166"/>
      <c r="GH96" s="166"/>
      <c r="GI96" s="166"/>
      <c r="GJ96" s="166"/>
      <c r="GK96" s="166"/>
      <c r="GL96" s="166"/>
      <c r="GM96" s="166"/>
      <c r="GN96" s="166"/>
      <c r="GO96" s="166"/>
      <c r="GP96" s="166"/>
      <c r="GQ96" s="166"/>
      <c r="GR96" s="166"/>
      <c r="GS96" s="166"/>
      <c r="GT96" s="166"/>
      <c r="GU96" s="166"/>
      <c r="GV96" s="166"/>
      <c r="GW96" s="166"/>
      <c r="GX96" s="166"/>
      <c r="GY96" s="166"/>
      <c r="GZ96" s="166"/>
      <c r="HA96" s="166"/>
      <c r="HB96" s="166"/>
      <c r="HC96" s="166"/>
      <c r="HD96" s="166"/>
      <c r="HE96" s="166"/>
      <c r="HF96" s="166"/>
      <c r="HG96" s="166"/>
      <c r="HH96" s="166"/>
      <c r="HI96" s="166"/>
      <c r="HJ96" s="166"/>
      <c r="HK96" s="166"/>
      <c r="HL96" s="166"/>
      <c r="HM96" s="166"/>
      <c r="HN96" s="166"/>
      <c r="HO96" s="166"/>
      <c r="HP96" s="166"/>
      <c r="HQ96" s="166"/>
      <c r="HR96" s="166"/>
      <c r="HS96" s="166"/>
      <c r="HT96" s="166"/>
      <c r="HU96" s="166"/>
      <c r="HV96" s="166"/>
      <c r="HW96" s="166"/>
      <c r="HX96" s="166"/>
      <c r="HY96" s="166"/>
      <c r="HZ96" s="166"/>
      <c r="IA96" s="166"/>
      <c r="IB96" s="166"/>
      <c r="IC96" s="166"/>
      <c r="ID96" s="166"/>
      <c r="IE96" s="166"/>
      <c r="IF96" s="166"/>
      <c r="IG96" s="166"/>
      <c r="IH96" s="166"/>
      <c r="II96" s="166"/>
      <c r="IJ96" s="166"/>
      <c r="IK96" s="166"/>
      <c r="IL96" s="166"/>
      <c r="IM96" s="166"/>
      <c r="IN96" s="166"/>
      <c r="IO96" s="166"/>
      <c r="IP96" s="166"/>
      <c r="IQ96" s="166"/>
      <c r="IR96" s="166"/>
      <c r="IS96" s="166"/>
      <c r="IT96" s="166"/>
      <c r="IU96" s="166"/>
      <c r="IV96" s="166"/>
    </row>
    <row r="97" spans="1:256" s="492" customFormat="1" ht="16.5" customHeight="1" x14ac:dyDescent="0.2">
      <c r="A97" s="255" t="str">
        <f>'Common-size FS'!A93</f>
        <v>Income from cont. oper's before taxes</v>
      </c>
      <c r="B97" s="255">
        <f>'Common-size FS'!B93</f>
        <v>991</v>
      </c>
      <c r="C97" s="255">
        <f>'Common-size FS'!C93</f>
        <v>1097</v>
      </c>
      <c r="D97" s="255">
        <f>'Common-size FS'!D93</f>
        <v>1105</v>
      </c>
      <c r="E97" s="255">
        <f>'Common-size FS'!E93</f>
        <v>1105</v>
      </c>
      <c r="F97" s="255">
        <f>'Common-size FS'!F93</f>
        <v>1050</v>
      </c>
      <c r="G97" s="255">
        <f>'Common-size FS'!G93</f>
        <v>750</v>
      </c>
      <c r="H97" s="677"/>
      <c r="I97" s="677"/>
      <c r="J97" s="677"/>
      <c r="K97" s="677"/>
      <c r="L97" s="677"/>
      <c r="M97" s="677"/>
      <c r="N97" s="677"/>
      <c r="O97" s="677"/>
      <c r="P97" s="677"/>
      <c r="Q97" s="677"/>
      <c r="R97" s="677"/>
      <c r="S97" s="677"/>
      <c r="T97" s="677"/>
      <c r="U97" s="677"/>
      <c r="V97" s="677"/>
      <c r="W97" s="677"/>
      <c r="X97" s="677"/>
      <c r="Y97" s="677"/>
      <c r="Z97" s="677"/>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c r="BF97" s="193"/>
      <c r="BG97" s="193"/>
      <c r="BH97" s="193"/>
      <c r="BI97" s="193"/>
      <c r="BJ97" s="193"/>
      <c r="BK97" s="193"/>
      <c r="BL97" s="193"/>
      <c r="BM97" s="193"/>
      <c r="BN97" s="193"/>
      <c r="BO97" s="193"/>
      <c r="BP97" s="193"/>
      <c r="BQ97" s="193"/>
      <c r="BR97" s="193"/>
      <c r="BS97" s="193"/>
      <c r="BT97" s="193"/>
      <c r="BU97" s="193"/>
      <c r="BV97" s="193"/>
      <c r="BW97" s="193"/>
      <c r="BX97" s="193"/>
      <c r="BY97" s="193"/>
      <c r="BZ97" s="193"/>
      <c r="CA97" s="193"/>
      <c r="CB97" s="193"/>
      <c r="CC97" s="193"/>
      <c r="CD97" s="193"/>
      <c r="CE97" s="193"/>
      <c r="CF97" s="193"/>
      <c r="CG97" s="193"/>
      <c r="CH97" s="193"/>
      <c r="CI97" s="193"/>
      <c r="CJ97" s="193"/>
      <c r="CK97" s="193"/>
      <c r="CL97" s="193"/>
      <c r="CM97" s="193"/>
      <c r="CN97" s="193"/>
      <c r="CO97" s="193"/>
      <c r="CP97" s="193"/>
      <c r="CQ97" s="193"/>
      <c r="CR97" s="193"/>
      <c r="CS97" s="193"/>
      <c r="CT97" s="193"/>
      <c r="CU97" s="193"/>
      <c r="CV97" s="193"/>
      <c r="CW97" s="193"/>
      <c r="CX97" s="193"/>
      <c r="CY97" s="193"/>
      <c r="CZ97" s="193"/>
      <c r="DA97" s="193"/>
      <c r="DB97" s="193"/>
      <c r="DC97" s="193"/>
      <c r="DD97" s="193"/>
      <c r="DE97" s="193"/>
      <c r="DF97" s="193"/>
      <c r="DG97" s="193"/>
      <c r="DH97" s="193"/>
      <c r="DI97" s="193"/>
      <c r="DJ97" s="193"/>
      <c r="DK97" s="193"/>
      <c r="DL97" s="193"/>
      <c r="DM97" s="193"/>
      <c r="DN97" s="193"/>
      <c r="DO97" s="193"/>
      <c r="DP97" s="193"/>
      <c r="DQ97" s="193"/>
      <c r="DR97" s="193"/>
      <c r="DS97" s="193"/>
      <c r="DT97" s="193"/>
      <c r="DU97" s="193"/>
      <c r="DV97" s="193"/>
      <c r="DW97" s="193"/>
      <c r="DX97" s="193"/>
      <c r="DY97" s="193"/>
      <c r="DZ97" s="193"/>
      <c r="EA97" s="193"/>
      <c r="EB97" s="193"/>
      <c r="EC97" s="193"/>
      <c r="ED97" s="193"/>
      <c r="EE97" s="193"/>
      <c r="EF97" s="193"/>
      <c r="EG97" s="193"/>
      <c r="EH97" s="193"/>
      <c r="EI97" s="193"/>
      <c r="EJ97" s="193"/>
      <c r="EK97" s="193"/>
      <c r="EL97" s="193"/>
      <c r="EM97" s="193"/>
      <c r="EN97" s="193"/>
      <c r="EO97" s="193"/>
      <c r="EP97" s="193"/>
      <c r="EQ97" s="193"/>
      <c r="ER97" s="193"/>
      <c r="ES97" s="193"/>
      <c r="ET97" s="193"/>
      <c r="EU97" s="193"/>
      <c r="EV97" s="193"/>
      <c r="EW97" s="193"/>
      <c r="EX97" s="193"/>
      <c r="EY97" s="193"/>
      <c r="EZ97" s="193"/>
      <c r="FA97" s="193"/>
      <c r="FB97" s="193"/>
      <c r="FC97" s="193"/>
      <c r="FD97" s="193"/>
      <c r="FE97" s="193"/>
      <c r="FF97" s="193"/>
      <c r="FG97" s="193"/>
      <c r="FH97" s="193"/>
      <c r="FI97" s="193"/>
      <c r="FJ97" s="193"/>
      <c r="FK97" s="193"/>
      <c r="FL97" s="193"/>
      <c r="FM97" s="193"/>
      <c r="FN97" s="193"/>
      <c r="FO97" s="193"/>
      <c r="FP97" s="193"/>
      <c r="FQ97" s="193"/>
      <c r="FR97" s="193"/>
      <c r="FS97" s="193"/>
      <c r="FT97" s="193"/>
      <c r="FU97" s="193"/>
      <c r="FV97" s="193"/>
      <c r="FW97" s="193"/>
      <c r="FX97" s="193"/>
      <c r="FY97" s="193"/>
      <c r="FZ97" s="193"/>
      <c r="GA97" s="193"/>
      <c r="GB97" s="193"/>
      <c r="GC97" s="193"/>
      <c r="GD97" s="193"/>
      <c r="GE97" s="193"/>
      <c r="GF97" s="193"/>
      <c r="GG97" s="193"/>
      <c r="GH97" s="193"/>
      <c r="GI97" s="193"/>
      <c r="GJ97" s="193"/>
      <c r="GK97" s="193"/>
      <c r="GL97" s="193"/>
      <c r="GM97" s="193"/>
      <c r="GN97" s="193"/>
      <c r="GO97" s="193"/>
      <c r="GP97" s="193"/>
      <c r="GQ97" s="193"/>
      <c r="GR97" s="193"/>
      <c r="GS97" s="193"/>
      <c r="GT97" s="193"/>
      <c r="GU97" s="193"/>
      <c r="GV97" s="193"/>
      <c r="GW97" s="193"/>
      <c r="GX97" s="193"/>
      <c r="GY97" s="193"/>
      <c r="GZ97" s="193"/>
      <c r="HA97" s="193"/>
      <c r="HB97" s="193"/>
      <c r="HC97" s="193"/>
      <c r="HD97" s="193"/>
      <c r="HE97" s="193"/>
      <c r="HF97" s="193"/>
      <c r="HG97" s="193"/>
      <c r="HH97" s="193"/>
      <c r="HI97" s="193"/>
      <c r="HJ97" s="193"/>
      <c r="HK97" s="193"/>
      <c r="HL97" s="193"/>
      <c r="HM97" s="193"/>
      <c r="HN97" s="193"/>
      <c r="HO97" s="193"/>
      <c r="HP97" s="193"/>
      <c r="HQ97" s="193"/>
      <c r="HR97" s="193"/>
      <c r="HS97" s="193"/>
      <c r="HT97" s="193"/>
      <c r="HU97" s="193"/>
      <c r="HV97" s="193"/>
      <c r="HW97" s="193"/>
      <c r="HX97" s="193"/>
      <c r="HY97" s="193"/>
      <c r="HZ97" s="193"/>
      <c r="IA97" s="193"/>
      <c r="IB97" s="193"/>
      <c r="IC97" s="193"/>
      <c r="ID97" s="193"/>
      <c r="IE97" s="193"/>
      <c r="IF97" s="193"/>
      <c r="IG97" s="193"/>
      <c r="IH97" s="193"/>
      <c r="II97" s="193"/>
      <c r="IJ97" s="193"/>
      <c r="IK97" s="193"/>
      <c r="IL97" s="193"/>
      <c r="IM97" s="193"/>
      <c r="IN97" s="193"/>
      <c r="IO97" s="193"/>
      <c r="IP97" s="193"/>
      <c r="IQ97" s="193"/>
      <c r="IR97" s="193"/>
      <c r="IS97" s="193"/>
      <c r="IT97" s="193"/>
      <c r="IU97" s="193"/>
      <c r="IV97" s="193"/>
    </row>
    <row r="98" spans="1:256" s="493" customFormat="1" ht="16.5" customHeight="1" x14ac:dyDescent="0.2">
      <c r="A98" s="71" t="str">
        <f>'Common-size FS'!A94</f>
        <v>Taxes on income from continuing operations</v>
      </c>
      <c r="B98" s="71">
        <f>'Common-size FS'!B94</f>
        <v>378</v>
      </c>
      <c r="C98" s="71">
        <f>'Common-size FS'!C94</f>
        <v>427</v>
      </c>
      <c r="D98" s="71">
        <f>'Common-size FS'!D94</f>
        <v>419</v>
      </c>
      <c r="E98" s="71">
        <f>'Common-size FS'!E94</f>
        <v>423</v>
      </c>
      <c r="F98" s="71">
        <f>'Common-size FS'!F94</f>
        <v>412</v>
      </c>
      <c r="G98" s="71">
        <f>'Common-size FS'!G94</f>
        <v>289</v>
      </c>
      <c r="H98" s="724"/>
      <c r="I98" s="724"/>
      <c r="J98" s="724"/>
      <c r="K98" s="724"/>
      <c r="L98" s="724"/>
      <c r="M98" s="724"/>
      <c r="N98" s="724"/>
      <c r="O98" s="724"/>
      <c r="P98" s="724"/>
      <c r="Q98" s="724"/>
      <c r="R98" s="724"/>
      <c r="S98" s="724"/>
      <c r="T98" s="724"/>
      <c r="U98" s="724"/>
      <c r="V98" s="724"/>
      <c r="W98" s="724"/>
      <c r="X98" s="724"/>
      <c r="Y98" s="724"/>
      <c r="Z98" s="724"/>
      <c r="AA98" s="227"/>
      <c r="AB98" s="227"/>
      <c r="AC98" s="227"/>
      <c r="AD98" s="227"/>
      <c r="AE98" s="227"/>
      <c r="AF98" s="227"/>
      <c r="AG98" s="227"/>
      <c r="AH98" s="227"/>
      <c r="AI98" s="227"/>
      <c r="AJ98" s="227"/>
      <c r="AK98" s="227"/>
      <c r="AL98" s="227"/>
      <c r="AM98" s="227"/>
      <c r="AN98" s="227"/>
      <c r="AO98" s="227"/>
      <c r="AP98" s="227"/>
      <c r="AQ98" s="227"/>
      <c r="AR98" s="227"/>
      <c r="AS98" s="227"/>
      <c r="AT98" s="227"/>
      <c r="AU98" s="227"/>
      <c r="AV98" s="227"/>
      <c r="AW98" s="227"/>
      <c r="AX98" s="227"/>
      <c r="AY98" s="227"/>
      <c r="AZ98" s="227"/>
      <c r="BA98" s="227"/>
      <c r="BB98" s="227"/>
      <c r="BC98" s="227"/>
      <c r="BD98" s="227"/>
      <c r="BE98" s="227"/>
      <c r="BF98" s="227"/>
      <c r="BG98" s="227"/>
      <c r="BH98" s="227"/>
      <c r="BI98" s="227"/>
      <c r="BJ98" s="227"/>
      <c r="BK98" s="227"/>
      <c r="BL98" s="227"/>
      <c r="BM98" s="227"/>
      <c r="BN98" s="227"/>
      <c r="BO98" s="227"/>
      <c r="BP98" s="227"/>
      <c r="BQ98" s="227"/>
      <c r="BR98" s="227"/>
      <c r="BS98" s="227"/>
      <c r="BT98" s="227"/>
      <c r="BU98" s="227"/>
      <c r="BV98" s="227"/>
      <c r="BW98" s="227"/>
      <c r="BX98" s="227"/>
      <c r="BY98" s="227"/>
      <c r="BZ98" s="227"/>
      <c r="CA98" s="227"/>
      <c r="CB98" s="227"/>
      <c r="CC98" s="227"/>
      <c r="CD98" s="227"/>
      <c r="CE98" s="227"/>
      <c r="CF98" s="227"/>
      <c r="CG98" s="227"/>
      <c r="CH98" s="227"/>
      <c r="CI98" s="227"/>
      <c r="CJ98" s="227"/>
      <c r="CK98" s="227"/>
      <c r="CL98" s="227"/>
      <c r="CM98" s="227"/>
      <c r="CN98" s="227"/>
      <c r="CO98" s="227"/>
      <c r="CP98" s="227"/>
      <c r="CQ98" s="227"/>
      <c r="CR98" s="227"/>
      <c r="CS98" s="227"/>
      <c r="CT98" s="227"/>
      <c r="CU98" s="227"/>
      <c r="CV98" s="227"/>
      <c r="CW98" s="227"/>
      <c r="CX98" s="227"/>
      <c r="CY98" s="227"/>
      <c r="CZ98" s="227"/>
      <c r="DA98" s="227"/>
      <c r="DB98" s="227"/>
      <c r="DC98" s="227"/>
      <c r="DD98" s="227"/>
      <c r="DE98" s="227"/>
      <c r="DF98" s="227"/>
      <c r="DG98" s="227"/>
      <c r="DH98" s="227"/>
      <c r="DI98" s="227"/>
      <c r="DJ98" s="227"/>
      <c r="DK98" s="227"/>
      <c r="DL98" s="227"/>
      <c r="DM98" s="227"/>
      <c r="DN98" s="227"/>
      <c r="DO98" s="227"/>
      <c r="DP98" s="227"/>
      <c r="DQ98" s="227"/>
      <c r="DR98" s="227"/>
      <c r="DS98" s="227"/>
      <c r="DT98" s="227"/>
      <c r="DU98" s="227"/>
      <c r="DV98" s="227"/>
      <c r="DW98" s="227"/>
      <c r="DX98" s="227"/>
      <c r="DY98" s="227"/>
      <c r="DZ98" s="227"/>
      <c r="EA98" s="227"/>
      <c r="EB98" s="227"/>
      <c r="EC98" s="227"/>
      <c r="ED98" s="227"/>
      <c r="EE98" s="227"/>
      <c r="EF98" s="227"/>
      <c r="EG98" s="227"/>
      <c r="EH98" s="227"/>
      <c r="EI98" s="227"/>
      <c r="EJ98" s="227"/>
      <c r="EK98" s="227"/>
      <c r="EL98" s="227"/>
      <c r="EM98" s="227"/>
      <c r="EN98" s="227"/>
      <c r="EO98" s="227"/>
      <c r="EP98" s="227"/>
      <c r="EQ98" s="227"/>
      <c r="ER98" s="227"/>
      <c r="ES98" s="227"/>
      <c r="ET98" s="227"/>
      <c r="EU98" s="227"/>
      <c r="EV98" s="227"/>
      <c r="EW98" s="227"/>
      <c r="EX98" s="227"/>
      <c r="EY98" s="227"/>
      <c r="EZ98" s="227"/>
      <c r="FA98" s="227"/>
      <c r="FB98" s="227"/>
      <c r="FC98" s="227"/>
      <c r="FD98" s="227"/>
      <c r="FE98" s="227"/>
      <c r="FF98" s="227"/>
      <c r="FG98" s="227"/>
      <c r="FH98" s="227"/>
      <c r="FI98" s="227"/>
      <c r="FJ98" s="227"/>
      <c r="FK98" s="227"/>
      <c r="FL98" s="227"/>
      <c r="FM98" s="227"/>
      <c r="FN98" s="227"/>
      <c r="FO98" s="227"/>
      <c r="FP98" s="227"/>
      <c r="FQ98" s="227"/>
      <c r="FR98" s="227"/>
      <c r="FS98" s="227"/>
      <c r="FT98" s="227"/>
      <c r="FU98" s="227"/>
      <c r="FV98" s="227"/>
      <c r="FW98" s="227"/>
      <c r="FX98" s="227"/>
      <c r="FY98" s="227"/>
      <c r="FZ98" s="227"/>
      <c r="GA98" s="227"/>
      <c r="GB98" s="227"/>
      <c r="GC98" s="227"/>
      <c r="GD98" s="227"/>
      <c r="GE98" s="227"/>
      <c r="GF98" s="227"/>
      <c r="GG98" s="227"/>
      <c r="GH98" s="227"/>
      <c r="GI98" s="227"/>
      <c r="GJ98" s="227"/>
      <c r="GK98" s="227"/>
      <c r="GL98" s="227"/>
      <c r="GM98" s="227"/>
      <c r="GN98" s="227"/>
      <c r="GO98" s="227"/>
      <c r="GP98" s="227"/>
      <c r="GQ98" s="227"/>
      <c r="GR98" s="227"/>
      <c r="GS98" s="227"/>
      <c r="GT98" s="227"/>
      <c r="GU98" s="227"/>
      <c r="GV98" s="227"/>
      <c r="GW98" s="227"/>
      <c r="GX98" s="227"/>
      <c r="GY98" s="227"/>
      <c r="GZ98" s="227"/>
      <c r="HA98" s="227"/>
      <c r="HB98" s="227"/>
      <c r="HC98" s="227"/>
      <c r="HD98" s="227"/>
      <c r="HE98" s="227"/>
      <c r="HF98" s="227"/>
      <c r="HG98" s="227"/>
      <c r="HH98" s="227"/>
      <c r="HI98" s="227"/>
      <c r="HJ98" s="227"/>
      <c r="HK98" s="227"/>
      <c r="HL98" s="227"/>
      <c r="HM98" s="227"/>
      <c r="HN98" s="227"/>
      <c r="HO98" s="227"/>
      <c r="HP98" s="227"/>
      <c r="HQ98" s="227"/>
      <c r="HR98" s="227"/>
      <c r="HS98" s="227"/>
      <c r="HT98" s="227"/>
      <c r="HU98" s="227"/>
      <c r="HV98" s="227"/>
      <c r="HW98" s="227"/>
      <c r="HX98" s="227"/>
      <c r="HY98" s="227"/>
      <c r="HZ98" s="227"/>
      <c r="IA98" s="227"/>
      <c r="IB98" s="227"/>
      <c r="IC98" s="227"/>
      <c r="ID98" s="227"/>
      <c r="IE98" s="227"/>
      <c r="IF98" s="227"/>
      <c r="IG98" s="227"/>
      <c r="IH98" s="227"/>
      <c r="II98" s="227"/>
      <c r="IJ98" s="227"/>
      <c r="IK98" s="227"/>
      <c r="IL98" s="227"/>
      <c r="IM98" s="227"/>
      <c r="IN98" s="227"/>
      <c r="IO98" s="227"/>
      <c r="IP98" s="227"/>
      <c r="IQ98" s="227"/>
      <c r="IR98" s="227"/>
      <c r="IS98" s="227"/>
      <c r="IT98" s="227"/>
      <c r="IU98" s="227"/>
      <c r="IV98" s="227"/>
    </row>
    <row r="99" spans="1:256" s="41" customFormat="1" ht="16.5" customHeight="1" x14ac:dyDescent="0.2">
      <c r="A99" s="423" t="str">
        <f>'Common-size FS'!A95</f>
        <v xml:space="preserve"> Income from contin oper incl noncontrol int's</v>
      </c>
      <c r="B99" s="255">
        <f>'Common-size FS'!B95</f>
        <v>613</v>
      </c>
      <c r="C99" s="255">
        <f>'Common-size FS'!C95</f>
        <v>670</v>
      </c>
      <c r="D99" s="255">
        <f>'Common-size FS'!D95</f>
        <v>686</v>
      </c>
      <c r="E99" s="255">
        <f>'Common-size FS'!E95</f>
        <v>682</v>
      </c>
      <c r="F99" s="255">
        <f>'Common-size FS'!F95</f>
        <v>638</v>
      </c>
      <c r="G99" s="255">
        <f>'Common-size FS'!G95</f>
        <v>461</v>
      </c>
      <c r="H99" s="677"/>
      <c r="I99" s="677"/>
      <c r="J99" s="677"/>
      <c r="K99" s="677"/>
      <c r="L99" s="677"/>
      <c r="M99" s="677"/>
      <c r="N99" s="677"/>
      <c r="O99" s="677"/>
      <c r="P99" s="677"/>
      <c r="Q99" s="677"/>
      <c r="R99" s="677"/>
      <c r="S99" s="677"/>
      <c r="T99" s="677"/>
      <c r="U99" s="677"/>
      <c r="V99" s="677"/>
      <c r="W99" s="677"/>
      <c r="X99" s="677"/>
      <c r="Y99" s="677"/>
      <c r="Z99" s="677"/>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c r="BF99" s="193"/>
      <c r="BG99" s="193"/>
      <c r="BH99" s="193"/>
      <c r="BI99" s="193"/>
      <c r="BJ99" s="193"/>
      <c r="BK99" s="193"/>
      <c r="BL99" s="193"/>
      <c r="BM99" s="193"/>
      <c r="BN99" s="193"/>
      <c r="BO99" s="193"/>
      <c r="BP99" s="193"/>
      <c r="BQ99" s="193"/>
      <c r="BR99" s="193"/>
      <c r="BS99" s="193"/>
      <c r="BT99" s="193"/>
      <c r="BU99" s="193"/>
      <c r="BV99" s="193"/>
      <c r="BW99" s="193"/>
      <c r="BX99" s="193"/>
      <c r="BY99" s="193"/>
      <c r="BZ99" s="193"/>
      <c r="CA99" s="193"/>
      <c r="CB99" s="193"/>
      <c r="CC99" s="193"/>
      <c r="CD99" s="193"/>
      <c r="CE99" s="193"/>
      <c r="CF99" s="193"/>
      <c r="CG99" s="193"/>
      <c r="CH99" s="193"/>
      <c r="CI99" s="193"/>
      <c r="CJ99" s="193"/>
      <c r="CK99" s="193"/>
      <c r="CL99" s="193"/>
      <c r="CM99" s="193"/>
      <c r="CN99" s="193"/>
      <c r="CO99" s="193"/>
      <c r="CP99" s="193"/>
      <c r="CQ99" s="193"/>
      <c r="CR99" s="193"/>
      <c r="CS99" s="193"/>
      <c r="CT99" s="193"/>
      <c r="CU99" s="193"/>
      <c r="CV99" s="193"/>
      <c r="CW99" s="193"/>
      <c r="CX99" s="193"/>
      <c r="CY99" s="193"/>
      <c r="CZ99" s="193"/>
      <c r="DA99" s="193"/>
      <c r="DB99" s="193"/>
      <c r="DC99" s="193"/>
      <c r="DD99" s="193"/>
      <c r="DE99" s="193"/>
      <c r="DF99" s="193"/>
      <c r="DG99" s="193"/>
      <c r="DH99" s="193"/>
      <c r="DI99" s="193"/>
      <c r="DJ99" s="193"/>
      <c r="DK99" s="193"/>
      <c r="DL99" s="193"/>
      <c r="DM99" s="193"/>
      <c r="DN99" s="193"/>
      <c r="DO99" s="193"/>
      <c r="DP99" s="193"/>
      <c r="DQ99" s="193"/>
      <c r="DR99" s="193"/>
      <c r="DS99" s="193"/>
      <c r="DT99" s="193"/>
      <c r="DU99" s="193"/>
      <c r="DV99" s="193"/>
      <c r="DW99" s="193"/>
      <c r="DX99" s="193"/>
      <c r="DY99" s="193"/>
      <c r="DZ99" s="193"/>
      <c r="EA99" s="193"/>
      <c r="EB99" s="193"/>
      <c r="EC99" s="193"/>
      <c r="ED99" s="193"/>
      <c r="EE99" s="193"/>
      <c r="EF99" s="193"/>
      <c r="EG99" s="193"/>
      <c r="EH99" s="193"/>
      <c r="EI99" s="193"/>
      <c r="EJ99" s="193"/>
      <c r="EK99" s="193"/>
      <c r="EL99" s="193"/>
      <c r="EM99" s="193"/>
      <c r="EN99" s="193"/>
      <c r="EO99" s="193"/>
      <c r="EP99" s="193"/>
      <c r="EQ99" s="193"/>
      <c r="ER99" s="193"/>
      <c r="ES99" s="193"/>
      <c r="ET99" s="193"/>
      <c r="EU99" s="193"/>
      <c r="EV99" s="193"/>
      <c r="EW99" s="193"/>
      <c r="EX99" s="193"/>
      <c r="EY99" s="193"/>
      <c r="EZ99" s="193"/>
      <c r="FA99" s="193"/>
      <c r="FB99" s="193"/>
      <c r="FC99" s="193"/>
      <c r="FD99" s="193"/>
      <c r="FE99" s="193"/>
      <c r="FF99" s="193"/>
      <c r="FG99" s="193"/>
      <c r="FH99" s="193"/>
      <c r="FI99" s="193"/>
      <c r="FJ99" s="193"/>
      <c r="FK99" s="193"/>
      <c r="FL99" s="193"/>
      <c r="FM99" s="193"/>
      <c r="FN99" s="193"/>
      <c r="FO99" s="193"/>
      <c r="FP99" s="193"/>
      <c r="FQ99" s="193"/>
      <c r="FR99" s="193"/>
      <c r="FS99" s="193"/>
      <c r="FT99" s="193"/>
      <c r="FU99" s="193"/>
      <c r="FV99" s="193"/>
      <c r="FW99" s="193"/>
      <c r="FX99" s="193"/>
      <c r="FY99" s="193"/>
      <c r="FZ99" s="193"/>
      <c r="GA99" s="193"/>
      <c r="GB99" s="193"/>
      <c r="GC99" s="193"/>
      <c r="GD99" s="193"/>
      <c r="GE99" s="193"/>
      <c r="GF99" s="193"/>
      <c r="GG99" s="193"/>
      <c r="GH99" s="193"/>
      <c r="GI99" s="193"/>
      <c r="GJ99" s="193"/>
      <c r="GK99" s="193"/>
      <c r="GL99" s="193"/>
      <c r="GM99" s="193"/>
      <c r="GN99" s="193"/>
      <c r="GO99" s="193"/>
      <c r="GP99" s="193"/>
      <c r="GQ99" s="193"/>
      <c r="GR99" s="193"/>
      <c r="GS99" s="193"/>
      <c r="GT99" s="193"/>
      <c r="GU99" s="193"/>
      <c r="GV99" s="193"/>
      <c r="GW99" s="193"/>
      <c r="GX99" s="193"/>
      <c r="GY99" s="193"/>
      <c r="GZ99" s="193"/>
      <c r="HA99" s="193"/>
      <c r="HB99" s="193"/>
      <c r="HC99" s="193"/>
      <c r="HD99" s="193"/>
      <c r="HE99" s="193"/>
      <c r="HF99" s="193"/>
      <c r="HG99" s="193"/>
      <c r="HH99" s="193"/>
      <c r="HI99" s="193"/>
      <c r="HJ99" s="193"/>
      <c r="HK99" s="193"/>
      <c r="HL99" s="193"/>
      <c r="HM99" s="193"/>
      <c r="HN99" s="193"/>
      <c r="HO99" s="193"/>
      <c r="HP99" s="193"/>
      <c r="HQ99" s="193"/>
      <c r="HR99" s="193"/>
      <c r="HS99" s="193"/>
      <c r="HT99" s="193"/>
      <c r="HU99" s="193"/>
      <c r="HV99" s="193"/>
      <c r="HW99" s="193"/>
      <c r="HX99" s="193"/>
      <c r="HY99" s="193"/>
      <c r="HZ99" s="193"/>
      <c r="IA99" s="193"/>
      <c r="IB99" s="193"/>
      <c r="IC99" s="193"/>
      <c r="ID99" s="193"/>
      <c r="IE99" s="193"/>
      <c r="IF99" s="193"/>
      <c r="IG99" s="193"/>
      <c r="IH99" s="193"/>
      <c r="II99" s="193"/>
      <c r="IJ99" s="193"/>
      <c r="IK99" s="193"/>
      <c r="IL99" s="193"/>
      <c r="IM99" s="193"/>
      <c r="IN99" s="193"/>
      <c r="IO99" s="193"/>
      <c r="IP99" s="193"/>
      <c r="IQ99" s="193"/>
      <c r="IR99" s="193"/>
      <c r="IS99" s="193"/>
      <c r="IT99" s="193"/>
      <c r="IU99" s="193"/>
      <c r="IV99" s="193"/>
    </row>
    <row r="100" spans="1:256" s="475" customFormat="1" ht="16.5" customHeight="1" x14ac:dyDescent="0.2">
      <c r="A100" s="71" t="str">
        <f>'Common-size FS'!A96</f>
        <v>Less: Income attrib to noncontrol interests</v>
      </c>
      <c r="B100" s="71">
        <f>'Common-size FS'!B96</f>
        <v>0</v>
      </c>
      <c r="C100" s="71">
        <f>'Common-size FS'!C96</f>
        <v>0</v>
      </c>
      <c r="D100" s="71">
        <f>'Common-size FS'!D96</f>
        <v>0</v>
      </c>
      <c r="E100" s="71">
        <f>'Common-size FS'!E96</f>
        <v>0</v>
      </c>
      <c r="F100" s="71">
        <f>'Common-size FS'!F96</f>
        <v>0</v>
      </c>
      <c r="G100" s="71">
        <f>'Common-size FS'!G96</f>
        <v>0</v>
      </c>
      <c r="H100" s="724"/>
      <c r="I100" s="724"/>
      <c r="J100" s="724"/>
      <c r="K100" s="724"/>
      <c r="L100" s="724"/>
      <c r="M100" s="724"/>
      <c r="N100" s="724"/>
      <c r="O100" s="724"/>
      <c r="P100" s="724"/>
      <c r="Q100" s="724"/>
      <c r="R100" s="724"/>
      <c r="S100" s="724"/>
      <c r="T100" s="724"/>
      <c r="U100" s="724"/>
      <c r="V100" s="724"/>
      <c r="W100" s="724"/>
      <c r="X100" s="724"/>
      <c r="Y100" s="724"/>
      <c r="Z100" s="724"/>
      <c r="AA100" s="227"/>
      <c r="AB100" s="227"/>
      <c r="AC100" s="227"/>
      <c r="AD100" s="227"/>
      <c r="AE100" s="227"/>
      <c r="AF100" s="227"/>
      <c r="AG100" s="227"/>
      <c r="AH100" s="227"/>
      <c r="AI100" s="227"/>
      <c r="AJ100" s="227"/>
      <c r="AK100" s="227"/>
      <c r="AL100" s="227"/>
      <c r="AM100" s="227"/>
      <c r="AN100" s="227"/>
      <c r="AO100" s="227"/>
      <c r="AP100" s="227"/>
      <c r="AQ100" s="227"/>
      <c r="AR100" s="227"/>
      <c r="AS100" s="227"/>
      <c r="AT100" s="227"/>
      <c r="AU100" s="227"/>
      <c r="AV100" s="227"/>
      <c r="AW100" s="227"/>
      <c r="AX100" s="227"/>
      <c r="AY100" s="227"/>
      <c r="AZ100" s="227"/>
      <c r="BA100" s="227"/>
      <c r="BB100" s="227"/>
      <c r="BC100" s="227"/>
      <c r="BD100" s="227"/>
      <c r="BE100" s="227"/>
      <c r="BF100" s="227"/>
      <c r="BG100" s="227"/>
      <c r="BH100" s="227"/>
      <c r="BI100" s="227"/>
      <c r="BJ100" s="227"/>
      <c r="BK100" s="227"/>
      <c r="BL100" s="227"/>
      <c r="BM100" s="227"/>
      <c r="BN100" s="227"/>
      <c r="BO100" s="227"/>
      <c r="BP100" s="227"/>
      <c r="BQ100" s="227"/>
      <c r="BR100" s="227"/>
      <c r="BS100" s="227"/>
      <c r="BT100" s="227"/>
      <c r="BU100" s="227"/>
      <c r="BV100" s="227"/>
      <c r="BW100" s="227"/>
      <c r="BX100" s="227"/>
      <c r="BY100" s="227"/>
      <c r="BZ100" s="227"/>
      <c r="CA100" s="227"/>
      <c r="CB100" s="227"/>
      <c r="CC100" s="227"/>
      <c r="CD100" s="227"/>
      <c r="CE100" s="227"/>
      <c r="CF100" s="227"/>
      <c r="CG100" s="227"/>
      <c r="CH100" s="227"/>
      <c r="CI100" s="227"/>
      <c r="CJ100" s="227"/>
      <c r="CK100" s="227"/>
      <c r="CL100" s="227"/>
      <c r="CM100" s="227"/>
      <c r="CN100" s="227"/>
      <c r="CO100" s="227"/>
      <c r="CP100" s="227"/>
      <c r="CQ100" s="227"/>
      <c r="CR100" s="227"/>
      <c r="CS100" s="227"/>
      <c r="CT100" s="227"/>
      <c r="CU100" s="227"/>
      <c r="CV100" s="227"/>
      <c r="CW100" s="227"/>
      <c r="CX100" s="227"/>
      <c r="CY100" s="227"/>
      <c r="CZ100" s="227"/>
      <c r="DA100" s="227"/>
      <c r="DB100" s="227"/>
      <c r="DC100" s="227"/>
      <c r="DD100" s="227"/>
      <c r="DE100" s="227"/>
      <c r="DF100" s="227"/>
      <c r="DG100" s="227"/>
      <c r="DH100" s="227"/>
      <c r="DI100" s="227"/>
      <c r="DJ100" s="227"/>
      <c r="DK100" s="227"/>
      <c r="DL100" s="227"/>
      <c r="DM100" s="227"/>
      <c r="DN100" s="227"/>
      <c r="DO100" s="227"/>
      <c r="DP100" s="227"/>
      <c r="DQ100" s="227"/>
      <c r="DR100" s="227"/>
      <c r="DS100" s="227"/>
      <c r="DT100" s="227"/>
      <c r="DU100" s="227"/>
      <c r="DV100" s="227"/>
      <c r="DW100" s="227"/>
      <c r="DX100" s="227"/>
      <c r="DY100" s="227"/>
      <c r="DZ100" s="227"/>
      <c r="EA100" s="227"/>
      <c r="EB100" s="227"/>
      <c r="EC100" s="227"/>
      <c r="ED100" s="227"/>
      <c r="EE100" s="227"/>
      <c r="EF100" s="227"/>
      <c r="EG100" s="227"/>
      <c r="EH100" s="227"/>
      <c r="EI100" s="227"/>
      <c r="EJ100" s="227"/>
      <c r="EK100" s="227"/>
      <c r="EL100" s="227"/>
      <c r="EM100" s="227"/>
      <c r="EN100" s="227"/>
      <c r="EO100" s="227"/>
      <c r="EP100" s="227"/>
      <c r="EQ100" s="227"/>
      <c r="ER100" s="227"/>
      <c r="ES100" s="227"/>
      <c r="ET100" s="227"/>
      <c r="EU100" s="227"/>
      <c r="EV100" s="227"/>
      <c r="EW100" s="227"/>
      <c r="EX100" s="227"/>
      <c r="EY100" s="227"/>
      <c r="EZ100" s="227"/>
      <c r="FA100" s="227"/>
      <c r="FB100" s="227"/>
      <c r="FC100" s="227"/>
      <c r="FD100" s="227"/>
      <c r="FE100" s="227"/>
      <c r="FF100" s="227"/>
      <c r="FG100" s="227"/>
      <c r="FH100" s="227"/>
      <c r="FI100" s="227"/>
      <c r="FJ100" s="227"/>
      <c r="FK100" s="227"/>
      <c r="FL100" s="227"/>
      <c r="FM100" s="227"/>
      <c r="FN100" s="227"/>
      <c r="FO100" s="227"/>
      <c r="FP100" s="227"/>
      <c r="FQ100" s="227"/>
      <c r="FR100" s="227"/>
      <c r="FS100" s="227"/>
      <c r="FT100" s="227"/>
      <c r="FU100" s="227"/>
      <c r="FV100" s="227"/>
      <c r="FW100" s="227"/>
      <c r="FX100" s="227"/>
      <c r="FY100" s="227"/>
      <c r="FZ100" s="227"/>
      <c r="GA100" s="227"/>
      <c r="GB100" s="227"/>
      <c r="GC100" s="227"/>
      <c r="GD100" s="227"/>
      <c r="GE100" s="227"/>
      <c r="GF100" s="227"/>
      <c r="GG100" s="227"/>
      <c r="GH100" s="227"/>
      <c r="GI100" s="227"/>
      <c r="GJ100" s="227"/>
      <c r="GK100" s="227"/>
      <c r="GL100" s="227"/>
      <c r="GM100" s="227"/>
      <c r="GN100" s="227"/>
      <c r="GO100" s="227"/>
      <c r="GP100" s="227"/>
      <c r="GQ100" s="227"/>
      <c r="GR100" s="227"/>
      <c r="GS100" s="227"/>
      <c r="GT100" s="227"/>
      <c r="GU100" s="227"/>
      <c r="GV100" s="227"/>
      <c r="GW100" s="227"/>
      <c r="GX100" s="227"/>
      <c r="GY100" s="227"/>
      <c r="GZ100" s="227"/>
      <c r="HA100" s="227"/>
      <c r="HB100" s="227"/>
      <c r="HC100" s="227"/>
      <c r="HD100" s="227"/>
      <c r="HE100" s="227"/>
      <c r="HF100" s="227"/>
      <c r="HG100" s="227"/>
      <c r="HH100" s="227"/>
      <c r="HI100" s="227"/>
      <c r="HJ100" s="227"/>
      <c r="HK100" s="227"/>
      <c r="HL100" s="227"/>
      <c r="HM100" s="227"/>
      <c r="HN100" s="227"/>
      <c r="HO100" s="227"/>
      <c r="HP100" s="227"/>
      <c r="HQ100" s="227"/>
      <c r="HR100" s="227"/>
      <c r="HS100" s="227"/>
      <c r="HT100" s="227"/>
      <c r="HU100" s="227"/>
      <c r="HV100" s="227"/>
      <c r="HW100" s="227"/>
      <c r="HX100" s="227"/>
      <c r="HY100" s="227"/>
      <c r="HZ100" s="227"/>
      <c r="IA100" s="227"/>
      <c r="IB100" s="227"/>
      <c r="IC100" s="227"/>
      <c r="ID100" s="227"/>
      <c r="IE100" s="227"/>
      <c r="IF100" s="227"/>
      <c r="IG100" s="227"/>
      <c r="IH100" s="227"/>
      <c r="II100" s="227"/>
      <c r="IJ100" s="227"/>
      <c r="IK100" s="227"/>
      <c r="IL100" s="227"/>
      <c r="IM100" s="227"/>
      <c r="IN100" s="227"/>
      <c r="IO100" s="227"/>
      <c r="IP100" s="227"/>
      <c r="IQ100" s="227"/>
      <c r="IR100" s="227"/>
      <c r="IS100" s="227"/>
      <c r="IT100" s="227"/>
      <c r="IU100" s="227"/>
      <c r="IV100" s="227"/>
    </row>
    <row r="101" spans="1:256" s="494" customFormat="1" ht="16.5" customHeight="1" thickBot="1" x14ac:dyDescent="0.25">
      <c r="A101" s="206" t="str">
        <f>'Common-size FS'!A97</f>
        <v xml:space="preserve"> Income from continuing operations</v>
      </c>
      <c r="B101" s="237">
        <f>'Common-size FS'!B97</f>
        <v>613</v>
      </c>
      <c r="C101" s="237">
        <f>'Common-size FS'!C97</f>
        <v>670</v>
      </c>
      <c r="D101" s="237">
        <f>'Common-size FS'!D97</f>
        <v>686</v>
      </c>
      <c r="E101" s="237">
        <f>'Common-size FS'!E97</f>
        <v>682</v>
      </c>
      <c r="F101" s="237">
        <f>'Common-size FS'!F97</f>
        <v>638</v>
      </c>
      <c r="G101" s="237">
        <f>'Common-size FS'!G97</f>
        <v>461</v>
      </c>
      <c r="H101" s="727"/>
      <c r="I101" s="727"/>
      <c r="J101" s="727"/>
      <c r="K101" s="727"/>
      <c r="L101" s="727"/>
      <c r="M101" s="727"/>
      <c r="N101" s="727"/>
      <c r="O101" s="727"/>
      <c r="P101" s="727"/>
      <c r="Q101" s="727"/>
      <c r="R101" s="727"/>
      <c r="S101" s="727"/>
      <c r="T101" s="727"/>
      <c r="U101" s="727"/>
      <c r="V101" s="727"/>
      <c r="W101" s="727"/>
      <c r="X101" s="727"/>
      <c r="Y101" s="727"/>
      <c r="Z101" s="727"/>
      <c r="AA101" s="419"/>
      <c r="AB101" s="419"/>
      <c r="AC101" s="419"/>
      <c r="AD101" s="419"/>
      <c r="AE101" s="419"/>
      <c r="AF101" s="419"/>
      <c r="AG101" s="419"/>
      <c r="AH101" s="419"/>
      <c r="AI101" s="419"/>
      <c r="AJ101" s="419"/>
      <c r="AK101" s="419"/>
      <c r="AL101" s="419"/>
      <c r="AM101" s="419"/>
      <c r="AN101" s="419"/>
      <c r="AO101" s="419"/>
      <c r="AP101" s="419"/>
      <c r="AQ101" s="419"/>
      <c r="AR101" s="419"/>
      <c r="AS101" s="419"/>
      <c r="AT101" s="419"/>
      <c r="AU101" s="419"/>
      <c r="AV101" s="419"/>
      <c r="AW101" s="419"/>
      <c r="AX101" s="419"/>
      <c r="AY101" s="419"/>
      <c r="AZ101" s="419"/>
      <c r="BA101" s="419"/>
      <c r="BB101" s="419"/>
      <c r="BC101" s="419"/>
      <c r="BD101" s="419"/>
      <c r="BE101" s="419"/>
      <c r="BF101" s="419"/>
      <c r="BG101" s="419"/>
      <c r="BH101" s="419"/>
      <c r="BI101" s="419"/>
      <c r="BJ101" s="419"/>
      <c r="BK101" s="419"/>
      <c r="BL101" s="419"/>
      <c r="BM101" s="419"/>
      <c r="BN101" s="419"/>
      <c r="BO101" s="419"/>
      <c r="BP101" s="419"/>
      <c r="BQ101" s="419"/>
      <c r="BR101" s="419"/>
      <c r="BS101" s="419"/>
      <c r="BT101" s="419"/>
      <c r="BU101" s="419"/>
      <c r="BV101" s="419"/>
      <c r="BW101" s="419"/>
      <c r="BX101" s="419"/>
      <c r="BY101" s="419"/>
      <c r="BZ101" s="419"/>
      <c r="CA101" s="419"/>
      <c r="CB101" s="419"/>
      <c r="CC101" s="419"/>
      <c r="CD101" s="419"/>
      <c r="CE101" s="419"/>
      <c r="CF101" s="419"/>
      <c r="CG101" s="419"/>
      <c r="CH101" s="419"/>
      <c r="CI101" s="419"/>
      <c r="CJ101" s="419"/>
      <c r="CK101" s="419"/>
      <c r="CL101" s="419"/>
      <c r="CM101" s="419"/>
      <c r="CN101" s="419"/>
      <c r="CO101" s="419"/>
      <c r="CP101" s="419"/>
      <c r="CQ101" s="419"/>
      <c r="CR101" s="419"/>
      <c r="CS101" s="419"/>
      <c r="CT101" s="419"/>
      <c r="CU101" s="419"/>
      <c r="CV101" s="419"/>
      <c r="CW101" s="419"/>
      <c r="CX101" s="419"/>
      <c r="CY101" s="419"/>
      <c r="CZ101" s="419"/>
      <c r="DA101" s="419"/>
      <c r="DB101" s="419"/>
      <c r="DC101" s="419"/>
      <c r="DD101" s="419"/>
      <c r="DE101" s="419"/>
      <c r="DF101" s="419"/>
      <c r="DG101" s="419"/>
      <c r="DH101" s="419"/>
      <c r="DI101" s="419"/>
      <c r="DJ101" s="419"/>
      <c r="DK101" s="419"/>
      <c r="DL101" s="419"/>
      <c r="DM101" s="419"/>
      <c r="DN101" s="419"/>
      <c r="DO101" s="419"/>
      <c r="DP101" s="419"/>
      <c r="DQ101" s="419"/>
      <c r="DR101" s="419"/>
      <c r="DS101" s="419"/>
      <c r="DT101" s="419"/>
      <c r="DU101" s="419"/>
      <c r="DV101" s="419"/>
      <c r="DW101" s="419"/>
      <c r="DX101" s="419"/>
      <c r="DY101" s="419"/>
      <c r="DZ101" s="419"/>
      <c r="EA101" s="419"/>
      <c r="EB101" s="419"/>
      <c r="EC101" s="419"/>
      <c r="ED101" s="419"/>
      <c r="EE101" s="419"/>
      <c r="EF101" s="419"/>
      <c r="EG101" s="419"/>
      <c r="EH101" s="419"/>
      <c r="EI101" s="419"/>
      <c r="EJ101" s="419"/>
      <c r="EK101" s="419"/>
      <c r="EL101" s="419"/>
      <c r="EM101" s="419"/>
      <c r="EN101" s="419"/>
      <c r="EO101" s="419"/>
      <c r="EP101" s="419"/>
      <c r="EQ101" s="419"/>
      <c r="ER101" s="419"/>
      <c r="ES101" s="419"/>
      <c r="ET101" s="419"/>
      <c r="EU101" s="419"/>
      <c r="EV101" s="419"/>
      <c r="EW101" s="419"/>
      <c r="EX101" s="419"/>
      <c r="EY101" s="419"/>
      <c r="EZ101" s="419"/>
      <c r="FA101" s="419"/>
      <c r="FB101" s="419"/>
      <c r="FC101" s="419"/>
      <c r="FD101" s="419"/>
      <c r="FE101" s="419"/>
      <c r="FF101" s="419"/>
      <c r="FG101" s="419"/>
      <c r="FH101" s="419"/>
      <c r="FI101" s="419"/>
      <c r="FJ101" s="419"/>
      <c r="FK101" s="419"/>
      <c r="FL101" s="419"/>
      <c r="FM101" s="419"/>
      <c r="FN101" s="419"/>
      <c r="FO101" s="419"/>
      <c r="FP101" s="419"/>
      <c r="FQ101" s="419"/>
      <c r="FR101" s="419"/>
      <c r="FS101" s="419"/>
      <c r="FT101" s="419"/>
      <c r="FU101" s="419"/>
      <c r="FV101" s="419"/>
      <c r="FW101" s="419"/>
      <c r="FX101" s="419"/>
      <c r="FY101" s="419"/>
      <c r="FZ101" s="419"/>
      <c r="GA101" s="419"/>
      <c r="GB101" s="419"/>
      <c r="GC101" s="419"/>
      <c r="GD101" s="419"/>
      <c r="GE101" s="419"/>
      <c r="GF101" s="419"/>
      <c r="GG101" s="419"/>
      <c r="GH101" s="419"/>
      <c r="GI101" s="419"/>
      <c r="GJ101" s="419"/>
      <c r="GK101" s="419"/>
      <c r="GL101" s="419"/>
      <c r="GM101" s="419"/>
      <c r="GN101" s="419"/>
      <c r="GO101" s="419"/>
      <c r="GP101" s="419"/>
      <c r="GQ101" s="419"/>
      <c r="GR101" s="419"/>
      <c r="GS101" s="419"/>
      <c r="GT101" s="419"/>
      <c r="GU101" s="419"/>
      <c r="GV101" s="419"/>
      <c r="GW101" s="419"/>
      <c r="GX101" s="419"/>
      <c r="GY101" s="419"/>
      <c r="GZ101" s="419"/>
      <c r="HA101" s="419"/>
      <c r="HB101" s="419"/>
      <c r="HC101" s="419"/>
      <c r="HD101" s="419"/>
      <c r="HE101" s="419"/>
      <c r="HF101" s="419"/>
      <c r="HG101" s="419"/>
      <c r="HH101" s="419"/>
      <c r="HI101" s="419"/>
      <c r="HJ101" s="419"/>
      <c r="HK101" s="419"/>
      <c r="HL101" s="419"/>
      <c r="HM101" s="419"/>
      <c r="HN101" s="419"/>
      <c r="HO101" s="419"/>
      <c r="HP101" s="419"/>
      <c r="HQ101" s="419"/>
      <c r="HR101" s="419"/>
      <c r="HS101" s="419"/>
      <c r="HT101" s="419"/>
      <c r="HU101" s="419"/>
      <c r="HV101" s="419"/>
      <c r="HW101" s="419"/>
      <c r="HX101" s="419"/>
      <c r="HY101" s="419"/>
      <c r="HZ101" s="419"/>
      <c r="IA101" s="419"/>
      <c r="IB101" s="419"/>
      <c r="IC101" s="419"/>
      <c r="ID101" s="419"/>
      <c r="IE101" s="419"/>
      <c r="IF101" s="419"/>
      <c r="IG101" s="419"/>
      <c r="IH101" s="419"/>
      <c r="II101" s="419"/>
      <c r="IJ101" s="419"/>
      <c r="IK101" s="419"/>
      <c r="IL101" s="419"/>
      <c r="IM101" s="419"/>
      <c r="IN101" s="419"/>
      <c r="IO101" s="419"/>
      <c r="IP101" s="419"/>
      <c r="IQ101" s="419"/>
      <c r="IR101" s="419"/>
      <c r="IS101" s="419"/>
      <c r="IT101" s="419"/>
      <c r="IU101" s="419"/>
      <c r="IV101" s="419"/>
    </row>
    <row r="102" spans="1:256" s="208" customFormat="1" ht="9" customHeight="1" x14ac:dyDescent="0.2">
      <c r="A102" s="193"/>
      <c r="B102" s="193"/>
      <c r="C102" s="193"/>
      <c r="D102" s="193"/>
      <c r="E102" s="193"/>
      <c r="F102" s="193"/>
      <c r="G102" s="193"/>
      <c r="H102" s="677"/>
      <c r="I102" s="677"/>
      <c r="J102" s="677"/>
      <c r="K102" s="677"/>
      <c r="L102" s="677"/>
      <c r="M102" s="677"/>
      <c r="N102" s="677"/>
      <c r="O102" s="677"/>
      <c r="P102" s="677"/>
      <c r="Q102" s="677"/>
      <c r="R102" s="677"/>
      <c r="S102" s="677"/>
      <c r="T102" s="677"/>
      <c r="U102" s="677"/>
      <c r="V102" s="677"/>
      <c r="W102" s="677"/>
      <c r="X102" s="677"/>
      <c r="Y102" s="677"/>
      <c r="Z102" s="677"/>
      <c r="AA102" s="193"/>
      <c r="AB102" s="193"/>
      <c r="AC102" s="193"/>
      <c r="AD102" s="193"/>
      <c r="AE102" s="193"/>
      <c r="AF102" s="193"/>
      <c r="AG102" s="193"/>
      <c r="AH102" s="193"/>
      <c r="AI102" s="193"/>
      <c r="AJ102" s="193"/>
      <c r="AK102" s="193"/>
      <c r="AL102" s="193"/>
      <c r="AM102" s="193"/>
      <c r="AN102" s="193"/>
      <c r="AO102" s="193"/>
      <c r="AP102" s="193"/>
      <c r="AQ102" s="193"/>
      <c r="AR102" s="193"/>
      <c r="AS102" s="193"/>
      <c r="AT102" s="193"/>
      <c r="AU102" s="193"/>
      <c r="AV102" s="193"/>
      <c r="AW102" s="193"/>
      <c r="AX102" s="193"/>
      <c r="AY102" s="193"/>
      <c r="AZ102" s="193"/>
      <c r="BA102" s="193"/>
      <c r="BB102" s="193"/>
      <c r="BC102" s="193"/>
      <c r="BD102" s="193"/>
      <c r="BE102" s="193"/>
      <c r="BF102" s="193"/>
      <c r="BG102" s="193"/>
      <c r="BH102" s="193"/>
      <c r="BI102" s="193"/>
      <c r="BJ102" s="193"/>
      <c r="BK102" s="193"/>
      <c r="BL102" s="193"/>
      <c r="BM102" s="193"/>
      <c r="BN102" s="193"/>
      <c r="BO102" s="193"/>
      <c r="BP102" s="193"/>
      <c r="BQ102" s="193"/>
      <c r="BR102" s="193"/>
      <c r="BS102" s="193"/>
      <c r="BT102" s="193"/>
      <c r="BU102" s="193"/>
      <c r="BV102" s="193"/>
      <c r="BW102" s="193"/>
      <c r="BX102" s="193"/>
      <c r="BY102" s="193"/>
      <c r="BZ102" s="193"/>
      <c r="CA102" s="193"/>
      <c r="CB102" s="193"/>
      <c r="CC102" s="193"/>
      <c r="CD102" s="193"/>
      <c r="CE102" s="193"/>
      <c r="CF102" s="193"/>
      <c r="CG102" s="193"/>
      <c r="CH102" s="193"/>
      <c r="CI102" s="193"/>
      <c r="CJ102" s="193"/>
      <c r="CK102" s="193"/>
      <c r="CL102" s="193"/>
      <c r="CM102" s="193"/>
      <c r="CN102" s="193"/>
      <c r="CO102" s="193"/>
      <c r="CP102" s="193"/>
      <c r="CQ102" s="193"/>
      <c r="CR102" s="193"/>
      <c r="CS102" s="193"/>
      <c r="CT102" s="193"/>
      <c r="CU102" s="193"/>
      <c r="CV102" s="193"/>
      <c r="CW102" s="193"/>
      <c r="CX102" s="193"/>
      <c r="CY102" s="193"/>
      <c r="CZ102" s="193"/>
      <c r="DA102" s="193"/>
      <c r="DB102" s="193"/>
      <c r="DC102" s="193"/>
      <c r="DD102" s="193"/>
      <c r="DE102" s="193"/>
      <c r="DF102" s="193"/>
      <c r="DG102" s="193"/>
      <c r="DH102" s="193"/>
      <c r="DI102" s="193"/>
      <c r="DJ102" s="193"/>
      <c r="DK102" s="193"/>
      <c r="DL102" s="193"/>
      <c r="DM102" s="193"/>
      <c r="DN102" s="193"/>
      <c r="DO102" s="193"/>
      <c r="DP102" s="193"/>
      <c r="DQ102" s="193"/>
      <c r="DR102" s="193"/>
      <c r="DS102" s="193"/>
      <c r="DT102" s="193"/>
      <c r="DU102" s="193"/>
      <c r="DV102" s="193"/>
      <c r="DW102" s="193"/>
      <c r="DX102" s="193"/>
      <c r="DY102" s="193"/>
      <c r="DZ102" s="193"/>
      <c r="EA102" s="193"/>
      <c r="EB102" s="193"/>
      <c r="EC102" s="193"/>
      <c r="ED102" s="193"/>
      <c r="EE102" s="193"/>
      <c r="EF102" s="193"/>
      <c r="EG102" s="193"/>
      <c r="EH102" s="193"/>
      <c r="EI102" s="193"/>
      <c r="EJ102" s="193"/>
      <c r="EK102" s="193"/>
      <c r="EL102" s="193"/>
      <c r="EM102" s="193"/>
      <c r="EN102" s="193"/>
      <c r="EO102" s="193"/>
      <c r="EP102" s="193"/>
      <c r="EQ102" s="193"/>
      <c r="ER102" s="193"/>
      <c r="ES102" s="193"/>
      <c r="ET102" s="193"/>
      <c r="EU102" s="193"/>
      <c r="EV102" s="193"/>
      <c r="EW102" s="193"/>
      <c r="EX102" s="193"/>
      <c r="EY102" s="193"/>
      <c r="EZ102" s="193"/>
      <c r="FA102" s="193"/>
      <c r="FB102" s="193"/>
      <c r="FC102" s="193"/>
      <c r="FD102" s="193"/>
      <c r="FE102" s="193"/>
      <c r="FF102" s="193"/>
      <c r="FG102" s="193"/>
      <c r="FH102" s="193"/>
      <c r="FI102" s="193"/>
      <c r="FJ102" s="193"/>
      <c r="FK102" s="193"/>
      <c r="FL102" s="193"/>
      <c r="FM102" s="193"/>
      <c r="FN102" s="193"/>
      <c r="FO102" s="193"/>
      <c r="FP102" s="193"/>
      <c r="FQ102" s="193"/>
      <c r="FR102" s="193"/>
      <c r="FS102" s="193"/>
      <c r="FT102" s="193"/>
      <c r="FU102" s="193"/>
      <c r="FV102" s="193"/>
      <c r="FW102" s="193"/>
      <c r="FX102" s="193"/>
      <c r="FY102" s="193"/>
      <c r="FZ102" s="193"/>
      <c r="GA102" s="193"/>
      <c r="GB102" s="193"/>
      <c r="GC102" s="193"/>
      <c r="GD102" s="193"/>
      <c r="GE102" s="193"/>
      <c r="GF102" s="193"/>
      <c r="GG102" s="193"/>
      <c r="GH102" s="193"/>
      <c r="GI102" s="193"/>
      <c r="GJ102" s="193"/>
      <c r="GK102" s="193"/>
      <c r="GL102" s="193"/>
      <c r="GM102" s="193"/>
      <c r="GN102" s="193"/>
      <c r="GO102" s="193"/>
      <c r="GP102" s="193"/>
      <c r="GQ102" s="193"/>
      <c r="GR102" s="193"/>
      <c r="GS102" s="193"/>
      <c r="GT102" s="193"/>
      <c r="GU102" s="193"/>
      <c r="GV102" s="193"/>
      <c r="GW102" s="193"/>
      <c r="GX102" s="193"/>
      <c r="GY102" s="193"/>
      <c r="GZ102" s="193"/>
      <c r="HA102" s="193"/>
      <c r="HB102" s="193"/>
      <c r="HC102" s="193"/>
      <c r="HD102" s="193"/>
      <c r="HE102" s="193"/>
      <c r="HF102" s="193"/>
      <c r="HG102" s="193"/>
      <c r="HH102" s="193"/>
      <c r="HI102" s="193"/>
      <c r="HJ102" s="193"/>
      <c r="HK102" s="193"/>
      <c r="HL102" s="193"/>
      <c r="HM102" s="193"/>
      <c r="HN102" s="193"/>
      <c r="HO102" s="193"/>
      <c r="HP102" s="193"/>
      <c r="HQ102" s="193"/>
      <c r="HR102" s="193"/>
      <c r="HS102" s="193"/>
      <c r="HT102" s="193"/>
      <c r="HU102" s="193"/>
      <c r="HV102" s="193"/>
      <c r="HW102" s="193"/>
      <c r="HX102" s="193"/>
      <c r="HY102" s="193"/>
      <c r="HZ102" s="193"/>
      <c r="IA102" s="193"/>
      <c r="IB102" s="193"/>
      <c r="IC102" s="193"/>
      <c r="ID102" s="193"/>
      <c r="IE102" s="193"/>
      <c r="IF102" s="193"/>
      <c r="IG102" s="193"/>
      <c r="IH102" s="193"/>
      <c r="II102" s="193"/>
      <c r="IJ102" s="193"/>
      <c r="IK102" s="193"/>
      <c r="IL102" s="193"/>
      <c r="IM102" s="193"/>
      <c r="IN102" s="193"/>
      <c r="IO102" s="193"/>
      <c r="IP102" s="193"/>
      <c r="IQ102" s="193"/>
      <c r="IR102" s="193"/>
      <c r="IS102" s="193"/>
      <c r="IT102" s="193"/>
      <c r="IU102" s="193"/>
      <c r="IV102" s="193"/>
    </row>
    <row r="103" spans="1:256" s="208" customFormat="1" ht="9" customHeight="1" x14ac:dyDescent="0.2">
      <c r="A103" s="193"/>
      <c r="B103" s="193"/>
      <c r="C103" s="193"/>
      <c r="D103" s="193"/>
      <c r="E103" s="193"/>
      <c r="F103" s="193"/>
      <c r="G103" s="193"/>
      <c r="H103" s="677"/>
      <c r="I103" s="677"/>
      <c r="J103" s="677"/>
      <c r="K103" s="677"/>
      <c r="L103" s="677"/>
      <c r="M103" s="677"/>
      <c r="N103" s="677"/>
      <c r="O103" s="677"/>
      <c r="P103" s="677"/>
      <c r="Q103" s="677"/>
      <c r="R103" s="677"/>
      <c r="S103" s="677"/>
      <c r="T103" s="677"/>
      <c r="U103" s="677"/>
      <c r="V103" s="677"/>
      <c r="W103" s="677"/>
      <c r="X103" s="677"/>
      <c r="Y103" s="677"/>
      <c r="Z103" s="677"/>
      <c r="AA103" s="193"/>
      <c r="AB103" s="193"/>
      <c r="AC103" s="193"/>
      <c r="AD103" s="193"/>
      <c r="AE103" s="193"/>
      <c r="AF103" s="193"/>
      <c r="AG103" s="193"/>
      <c r="AH103" s="193"/>
      <c r="AI103" s="193"/>
      <c r="AJ103" s="193"/>
      <c r="AK103" s="193"/>
      <c r="AL103" s="193"/>
      <c r="AM103" s="193"/>
      <c r="AN103" s="193"/>
      <c r="AO103" s="193"/>
      <c r="AP103" s="193"/>
      <c r="AQ103" s="193"/>
      <c r="AR103" s="193"/>
      <c r="AS103" s="193"/>
      <c r="AT103" s="193"/>
      <c r="AU103" s="193"/>
      <c r="AV103" s="193"/>
      <c r="AW103" s="193"/>
      <c r="AX103" s="193"/>
      <c r="AY103" s="193"/>
      <c r="AZ103" s="193"/>
      <c r="BA103" s="193"/>
      <c r="BB103" s="193"/>
      <c r="BC103" s="193"/>
      <c r="BD103" s="193"/>
      <c r="BE103" s="193"/>
      <c r="BF103" s="193"/>
      <c r="BG103" s="193"/>
      <c r="BH103" s="193"/>
      <c r="BI103" s="193"/>
      <c r="BJ103" s="193"/>
      <c r="BK103" s="193"/>
      <c r="BL103" s="193"/>
      <c r="BM103" s="193"/>
      <c r="BN103" s="193"/>
      <c r="BO103" s="193"/>
      <c r="BP103" s="193"/>
      <c r="BQ103" s="193"/>
      <c r="BR103" s="193"/>
      <c r="BS103" s="193"/>
      <c r="BT103" s="193"/>
      <c r="BU103" s="193"/>
      <c r="BV103" s="193"/>
      <c r="BW103" s="193"/>
      <c r="BX103" s="193"/>
      <c r="BY103" s="193"/>
      <c r="BZ103" s="193"/>
      <c r="CA103" s="193"/>
      <c r="CB103" s="193"/>
      <c r="CC103" s="193"/>
      <c r="CD103" s="193"/>
      <c r="CE103" s="193"/>
      <c r="CF103" s="193"/>
      <c r="CG103" s="193"/>
      <c r="CH103" s="193"/>
      <c r="CI103" s="193"/>
      <c r="CJ103" s="193"/>
      <c r="CK103" s="193"/>
      <c r="CL103" s="193"/>
      <c r="CM103" s="193"/>
      <c r="CN103" s="193"/>
      <c r="CO103" s="193"/>
      <c r="CP103" s="193"/>
      <c r="CQ103" s="193"/>
      <c r="CR103" s="193"/>
      <c r="CS103" s="193"/>
      <c r="CT103" s="193"/>
      <c r="CU103" s="193"/>
      <c r="CV103" s="193"/>
      <c r="CW103" s="193"/>
      <c r="CX103" s="193"/>
      <c r="CY103" s="193"/>
      <c r="CZ103" s="193"/>
      <c r="DA103" s="193"/>
      <c r="DB103" s="193"/>
      <c r="DC103" s="193"/>
      <c r="DD103" s="193"/>
      <c r="DE103" s="193"/>
      <c r="DF103" s="193"/>
      <c r="DG103" s="193"/>
      <c r="DH103" s="193"/>
      <c r="DI103" s="193"/>
      <c r="DJ103" s="193"/>
      <c r="DK103" s="193"/>
      <c r="DL103" s="193"/>
      <c r="DM103" s="193"/>
      <c r="DN103" s="193"/>
      <c r="DO103" s="193"/>
      <c r="DP103" s="193"/>
      <c r="DQ103" s="193"/>
      <c r="DR103" s="193"/>
      <c r="DS103" s="193"/>
      <c r="DT103" s="193"/>
      <c r="DU103" s="193"/>
      <c r="DV103" s="193"/>
      <c r="DW103" s="193"/>
      <c r="DX103" s="193"/>
      <c r="DY103" s="193"/>
      <c r="DZ103" s="193"/>
      <c r="EA103" s="193"/>
      <c r="EB103" s="193"/>
      <c r="EC103" s="193"/>
      <c r="ED103" s="193"/>
      <c r="EE103" s="193"/>
      <c r="EF103" s="193"/>
      <c r="EG103" s="193"/>
      <c r="EH103" s="193"/>
      <c r="EI103" s="193"/>
      <c r="EJ103" s="193"/>
      <c r="EK103" s="193"/>
      <c r="EL103" s="193"/>
      <c r="EM103" s="193"/>
      <c r="EN103" s="193"/>
      <c r="EO103" s="193"/>
      <c r="EP103" s="193"/>
      <c r="EQ103" s="193"/>
      <c r="ER103" s="193"/>
      <c r="ES103" s="193"/>
      <c r="ET103" s="193"/>
      <c r="EU103" s="193"/>
      <c r="EV103" s="193"/>
      <c r="EW103" s="193"/>
      <c r="EX103" s="193"/>
      <c r="EY103" s="193"/>
      <c r="EZ103" s="193"/>
      <c r="FA103" s="193"/>
      <c r="FB103" s="193"/>
      <c r="FC103" s="193"/>
      <c r="FD103" s="193"/>
      <c r="FE103" s="193"/>
      <c r="FF103" s="193"/>
      <c r="FG103" s="193"/>
      <c r="FH103" s="193"/>
      <c r="FI103" s="193"/>
      <c r="FJ103" s="193"/>
      <c r="FK103" s="193"/>
      <c r="FL103" s="193"/>
      <c r="FM103" s="193"/>
      <c r="FN103" s="193"/>
      <c r="FO103" s="193"/>
      <c r="FP103" s="193"/>
      <c r="FQ103" s="193"/>
      <c r="FR103" s="193"/>
      <c r="FS103" s="193"/>
      <c r="FT103" s="193"/>
      <c r="FU103" s="193"/>
      <c r="FV103" s="193"/>
      <c r="FW103" s="193"/>
      <c r="FX103" s="193"/>
      <c r="FY103" s="193"/>
      <c r="FZ103" s="193"/>
      <c r="GA103" s="193"/>
      <c r="GB103" s="193"/>
      <c r="GC103" s="193"/>
      <c r="GD103" s="193"/>
      <c r="GE103" s="193"/>
      <c r="GF103" s="193"/>
      <c r="GG103" s="193"/>
      <c r="GH103" s="193"/>
      <c r="GI103" s="193"/>
      <c r="GJ103" s="193"/>
      <c r="GK103" s="193"/>
      <c r="GL103" s="193"/>
      <c r="GM103" s="193"/>
      <c r="GN103" s="193"/>
      <c r="GO103" s="193"/>
      <c r="GP103" s="193"/>
      <c r="GQ103" s="193"/>
      <c r="GR103" s="193"/>
      <c r="GS103" s="193"/>
      <c r="GT103" s="193"/>
      <c r="GU103" s="193"/>
      <c r="GV103" s="193"/>
      <c r="GW103" s="193"/>
      <c r="GX103" s="193"/>
      <c r="GY103" s="193"/>
      <c r="GZ103" s="193"/>
      <c r="HA103" s="193"/>
      <c r="HB103" s="193"/>
      <c r="HC103" s="193"/>
      <c r="HD103" s="193"/>
      <c r="HE103" s="193"/>
      <c r="HF103" s="193"/>
      <c r="HG103" s="193"/>
      <c r="HH103" s="193"/>
      <c r="HI103" s="193"/>
      <c r="HJ103" s="193"/>
      <c r="HK103" s="193"/>
      <c r="HL103" s="193"/>
      <c r="HM103" s="193"/>
      <c r="HN103" s="193"/>
      <c r="HO103" s="193"/>
      <c r="HP103" s="193"/>
      <c r="HQ103" s="193"/>
      <c r="HR103" s="193"/>
      <c r="HS103" s="193"/>
      <c r="HT103" s="193"/>
      <c r="HU103" s="193"/>
      <c r="HV103" s="193"/>
      <c r="HW103" s="193"/>
      <c r="HX103" s="193"/>
      <c r="HY103" s="193"/>
      <c r="HZ103" s="193"/>
      <c r="IA103" s="193"/>
      <c r="IB103" s="193"/>
      <c r="IC103" s="193"/>
      <c r="ID103" s="193"/>
      <c r="IE103" s="193"/>
      <c r="IF103" s="193"/>
      <c r="IG103" s="193"/>
      <c r="IH103" s="193"/>
      <c r="II103" s="193"/>
      <c r="IJ103" s="193"/>
      <c r="IK103" s="193"/>
      <c r="IL103" s="193"/>
      <c r="IM103" s="193"/>
      <c r="IN103" s="193"/>
      <c r="IO103" s="193"/>
      <c r="IP103" s="193"/>
      <c r="IQ103" s="193"/>
      <c r="IR103" s="193"/>
      <c r="IS103" s="193"/>
      <c r="IT103" s="193"/>
      <c r="IU103" s="193"/>
      <c r="IV103" s="193"/>
    </row>
    <row r="104" spans="1:256" s="492" customFormat="1" ht="16.5" customHeight="1" x14ac:dyDescent="0.2">
      <c r="A104" s="208"/>
      <c r="B104" s="468" t="s">
        <v>493</v>
      </c>
      <c r="C104" s="269"/>
      <c r="D104" s="269"/>
      <c r="E104" s="269"/>
      <c r="F104" s="269"/>
      <c r="G104" s="269"/>
      <c r="H104" s="677"/>
      <c r="I104" s="677"/>
      <c r="J104" s="677"/>
      <c r="K104" s="677"/>
      <c r="L104" s="677"/>
      <c r="M104" s="677"/>
      <c r="N104" s="677"/>
      <c r="O104" s="677"/>
      <c r="P104" s="677"/>
      <c r="Q104" s="677"/>
      <c r="R104" s="677"/>
      <c r="S104" s="677"/>
      <c r="T104" s="677"/>
      <c r="U104" s="677"/>
      <c r="V104" s="677"/>
      <c r="W104" s="677"/>
      <c r="X104" s="677"/>
      <c r="Y104" s="677"/>
      <c r="Z104" s="677"/>
      <c r="AA104" s="193"/>
      <c r="AB104" s="193"/>
      <c r="AC104" s="193"/>
      <c r="AD104" s="193"/>
      <c r="AE104" s="193"/>
      <c r="AF104" s="193"/>
      <c r="AG104" s="193"/>
      <c r="AH104" s="193"/>
      <c r="AI104" s="193"/>
      <c r="AJ104" s="193"/>
      <c r="AK104" s="193"/>
      <c r="AL104" s="193"/>
      <c r="AM104" s="193"/>
      <c r="AN104" s="193"/>
      <c r="AO104" s="193"/>
      <c r="AP104" s="193"/>
      <c r="AQ104" s="193"/>
      <c r="AR104" s="193"/>
      <c r="AS104" s="193"/>
      <c r="AT104" s="193"/>
      <c r="AU104" s="193"/>
      <c r="AV104" s="193"/>
      <c r="AW104" s="193"/>
      <c r="AX104" s="193"/>
      <c r="AY104" s="193"/>
      <c r="AZ104" s="193"/>
      <c r="BA104" s="193"/>
      <c r="BB104" s="193"/>
      <c r="BC104" s="193"/>
      <c r="BD104" s="193"/>
      <c r="BE104" s="193"/>
      <c r="BF104" s="193"/>
      <c r="BG104" s="193"/>
      <c r="BH104" s="193"/>
      <c r="BI104" s="193"/>
      <c r="BJ104" s="193"/>
      <c r="BK104" s="193"/>
      <c r="BL104" s="193"/>
      <c r="BM104" s="193"/>
      <c r="BN104" s="193"/>
      <c r="BO104" s="193"/>
      <c r="BP104" s="193"/>
      <c r="BQ104" s="193"/>
      <c r="BR104" s="193"/>
      <c r="BS104" s="193"/>
      <c r="BT104" s="193"/>
      <c r="BU104" s="193"/>
      <c r="BV104" s="193"/>
      <c r="BW104" s="193"/>
      <c r="BX104" s="193"/>
      <c r="BY104" s="193"/>
      <c r="BZ104" s="193"/>
      <c r="CA104" s="193"/>
      <c r="CB104" s="193"/>
      <c r="CC104" s="193"/>
      <c r="CD104" s="193"/>
      <c r="CE104" s="193"/>
      <c r="CF104" s="193"/>
      <c r="CG104" s="193"/>
      <c r="CH104" s="193"/>
      <c r="CI104" s="193"/>
      <c r="CJ104" s="193"/>
      <c r="CK104" s="193"/>
      <c r="CL104" s="193"/>
      <c r="CM104" s="193"/>
      <c r="CN104" s="193"/>
      <c r="CO104" s="193"/>
      <c r="CP104" s="193"/>
      <c r="CQ104" s="193"/>
      <c r="CR104" s="193"/>
      <c r="CS104" s="193"/>
      <c r="CT104" s="193"/>
      <c r="CU104" s="193"/>
      <c r="CV104" s="193"/>
      <c r="CW104" s="193"/>
      <c r="CX104" s="193"/>
      <c r="CY104" s="193"/>
      <c r="CZ104" s="193"/>
      <c r="DA104" s="193"/>
      <c r="DB104" s="193"/>
      <c r="DC104" s="193"/>
      <c r="DD104" s="193"/>
      <c r="DE104" s="193"/>
      <c r="DF104" s="193"/>
      <c r="DG104" s="193"/>
      <c r="DH104" s="193"/>
      <c r="DI104" s="193"/>
      <c r="DJ104" s="193"/>
      <c r="DK104" s="193"/>
      <c r="DL104" s="193"/>
      <c r="DM104" s="193"/>
      <c r="DN104" s="193"/>
      <c r="DO104" s="193"/>
      <c r="DP104" s="193"/>
      <c r="DQ104" s="193"/>
      <c r="DR104" s="193"/>
      <c r="DS104" s="193"/>
      <c r="DT104" s="193"/>
      <c r="DU104" s="193"/>
      <c r="DV104" s="193"/>
      <c r="DW104" s="193"/>
      <c r="DX104" s="193"/>
      <c r="DY104" s="193"/>
      <c r="DZ104" s="193"/>
      <c r="EA104" s="193"/>
      <c r="EB104" s="193"/>
      <c r="EC104" s="193"/>
      <c r="ED104" s="193"/>
      <c r="EE104" s="193"/>
      <c r="EF104" s="193"/>
      <c r="EG104" s="193"/>
      <c r="EH104" s="193"/>
      <c r="EI104" s="193"/>
      <c r="EJ104" s="193"/>
      <c r="EK104" s="193"/>
      <c r="EL104" s="193"/>
      <c r="EM104" s="193"/>
      <c r="EN104" s="193"/>
      <c r="EO104" s="193"/>
      <c r="EP104" s="193"/>
      <c r="EQ104" s="193"/>
      <c r="ER104" s="193"/>
      <c r="ES104" s="193"/>
      <c r="ET104" s="193"/>
      <c r="EU104" s="193"/>
      <c r="EV104" s="193"/>
      <c r="EW104" s="193"/>
      <c r="EX104" s="193"/>
      <c r="EY104" s="193"/>
      <c r="EZ104" s="193"/>
      <c r="FA104" s="193"/>
      <c r="FB104" s="193"/>
      <c r="FC104" s="193"/>
      <c r="FD104" s="193"/>
      <c r="FE104" s="193"/>
      <c r="FF104" s="193"/>
      <c r="FG104" s="193"/>
      <c r="FH104" s="193"/>
      <c r="FI104" s="193"/>
      <c r="FJ104" s="193"/>
      <c r="FK104" s="193"/>
      <c r="FL104" s="193"/>
      <c r="FM104" s="193"/>
      <c r="FN104" s="193"/>
      <c r="FO104" s="193"/>
      <c r="FP104" s="193"/>
      <c r="FQ104" s="193"/>
      <c r="FR104" s="193"/>
      <c r="FS104" s="193"/>
      <c r="FT104" s="193"/>
      <c r="FU104" s="193"/>
      <c r="FV104" s="193"/>
      <c r="FW104" s="193"/>
      <c r="FX104" s="193"/>
      <c r="FY104" s="193"/>
      <c r="FZ104" s="193"/>
      <c r="GA104" s="193"/>
      <c r="GB104" s="193"/>
      <c r="GC104" s="193"/>
      <c r="GD104" s="193"/>
      <c r="GE104" s="193"/>
      <c r="GF104" s="193"/>
      <c r="GG104" s="193"/>
      <c r="GH104" s="193"/>
      <c r="GI104" s="193"/>
      <c r="GJ104" s="193"/>
      <c r="GK104" s="193"/>
      <c r="GL104" s="193"/>
      <c r="GM104" s="193"/>
      <c r="GN104" s="193"/>
      <c r="GO104" s="193"/>
      <c r="GP104" s="193"/>
      <c r="GQ104" s="193"/>
      <c r="GR104" s="193"/>
      <c r="GS104" s="193"/>
      <c r="GT104" s="193"/>
      <c r="GU104" s="193"/>
      <c r="GV104" s="193"/>
      <c r="GW104" s="193"/>
      <c r="GX104" s="193"/>
      <c r="GY104" s="193"/>
      <c r="GZ104" s="193"/>
      <c r="HA104" s="193"/>
      <c r="HB104" s="193"/>
      <c r="HC104" s="193"/>
      <c r="HD104" s="193"/>
      <c r="HE104" s="193"/>
      <c r="HF104" s="193"/>
      <c r="HG104" s="193"/>
      <c r="HH104" s="193"/>
      <c r="HI104" s="193"/>
      <c r="HJ104" s="193"/>
      <c r="HK104" s="193"/>
      <c r="HL104" s="193"/>
      <c r="HM104" s="193"/>
      <c r="HN104" s="193"/>
      <c r="HO104" s="193"/>
      <c r="HP104" s="193"/>
      <c r="HQ104" s="193"/>
      <c r="HR104" s="193"/>
      <c r="HS104" s="193"/>
      <c r="HT104" s="193"/>
      <c r="HU104" s="193"/>
      <c r="HV104" s="193"/>
      <c r="HW104" s="193"/>
      <c r="HX104" s="193"/>
      <c r="HY104" s="193"/>
      <c r="HZ104" s="193"/>
      <c r="IA104" s="193"/>
      <c r="IB104" s="193"/>
      <c r="IC104" s="193"/>
      <c r="ID104" s="193"/>
      <c r="IE104" s="193"/>
      <c r="IF104" s="193"/>
      <c r="IG104" s="193"/>
      <c r="IH104" s="193"/>
      <c r="II104" s="193"/>
      <c r="IJ104" s="193"/>
      <c r="IK104" s="193"/>
      <c r="IL104" s="193"/>
      <c r="IM104" s="193"/>
      <c r="IN104" s="193"/>
      <c r="IO104" s="193"/>
      <c r="IP104" s="193"/>
      <c r="IQ104" s="193"/>
      <c r="IR104" s="193"/>
      <c r="IS104" s="193"/>
      <c r="IT104" s="193"/>
      <c r="IU104" s="193"/>
      <c r="IV104" s="193"/>
    </row>
    <row r="105" spans="1:256" s="492" customFormat="1" ht="16.5" customHeight="1" x14ac:dyDescent="0.2">
      <c r="A105" s="246" t="s">
        <v>241</v>
      </c>
      <c r="B105" s="58">
        <f>'Common-size FS'!B9</f>
        <v>2010</v>
      </c>
      <c r="C105" s="58">
        <f>B105+1</f>
        <v>2011</v>
      </c>
      <c r="D105" s="58">
        <f>C105+1</f>
        <v>2012</v>
      </c>
      <c r="E105" s="58">
        <f>D105+1</f>
        <v>2013</v>
      </c>
      <c r="F105" s="58">
        <f>E105+1</f>
        <v>2014</v>
      </c>
      <c r="G105" s="58">
        <f>F105+1</f>
        <v>2015</v>
      </c>
      <c r="H105" s="677"/>
      <c r="I105" s="677"/>
      <c r="J105" s="677"/>
      <c r="K105" s="677"/>
      <c r="L105" s="677"/>
      <c r="M105" s="677"/>
      <c r="N105" s="677"/>
      <c r="O105" s="677"/>
      <c r="P105" s="677"/>
      <c r="Q105" s="677"/>
      <c r="R105" s="677"/>
      <c r="S105" s="677"/>
      <c r="T105" s="677"/>
      <c r="U105" s="677"/>
      <c r="V105" s="677"/>
      <c r="W105" s="677"/>
      <c r="X105" s="677"/>
      <c r="Y105" s="677"/>
      <c r="Z105" s="677"/>
      <c r="AA105" s="193"/>
      <c r="AB105" s="193"/>
      <c r="AC105" s="193"/>
      <c r="AD105" s="193"/>
      <c r="AE105" s="193"/>
      <c r="AF105" s="193"/>
      <c r="AG105" s="193"/>
      <c r="AH105" s="193"/>
      <c r="AI105" s="193"/>
      <c r="AJ105" s="193"/>
      <c r="AK105" s="193"/>
      <c r="AL105" s="193"/>
      <c r="AM105" s="193"/>
      <c r="AN105" s="193"/>
      <c r="AO105" s="193"/>
      <c r="AP105" s="193"/>
      <c r="AQ105" s="193"/>
      <c r="AR105" s="193"/>
      <c r="AS105" s="193"/>
      <c r="AT105" s="193"/>
      <c r="AU105" s="193"/>
      <c r="AV105" s="193"/>
      <c r="AW105" s="193"/>
      <c r="AX105" s="193"/>
      <c r="AY105" s="193"/>
      <c r="AZ105" s="193"/>
      <c r="BA105" s="193"/>
      <c r="BB105" s="193"/>
      <c r="BC105" s="193"/>
      <c r="BD105" s="193"/>
      <c r="BE105" s="193"/>
      <c r="BF105" s="193"/>
      <c r="BG105" s="193"/>
      <c r="BH105" s="193"/>
      <c r="BI105" s="193"/>
      <c r="BJ105" s="193"/>
      <c r="BK105" s="193"/>
      <c r="BL105" s="193"/>
      <c r="BM105" s="193"/>
      <c r="BN105" s="193"/>
      <c r="BO105" s="193"/>
      <c r="BP105" s="193"/>
      <c r="BQ105" s="193"/>
      <c r="BR105" s="193"/>
      <c r="BS105" s="193"/>
      <c r="BT105" s="193"/>
      <c r="BU105" s="193"/>
      <c r="BV105" s="193"/>
      <c r="BW105" s="193"/>
      <c r="BX105" s="193"/>
      <c r="BY105" s="193"/>
      <c r="BZ105" s="193"/>
      <c r="CA105" s="193"/>
      <c r="CB105" s="193"/>
      <c r="CC105" s="193"/>
      <c r="CD105" s="193"/>
      <c r="CE105" s="193"/>
      <c r="CF105" s="193"/>
      <c r="CG105" s="193"/>
      <c r="CH105" s="193"/>
      <c r="CI105" s="193"/>
      <c r="CJ105" s="193"/>
      <c r="CK105" s="193"/>
      <c r="CL105" s="193"/>
      <c r="CM105" s="193"/>
      <c r="CN105" s="193"/>
      <c r="CO105" s="193"/>
      <c r="CP105" s="193"/>
      <c r="CQ105" s="193"/>
      <c r="CR105" s="193"/>
      <c r="CS105" s="193"/>
      <c r="CT105" s="193"/>
      <c r="CU105" s="193"/>
      <c r="CV105" s="193"/>
      <c r="CW105" s="193"/>
      <c r="CX105" s="193"/>
      <c r="CY105" s="193"/>
      <c r="CZ105" s="193"/>
      <c r="DA105" s="193"/>
      <c r="DB105" s="193"/>
      <c r="DC105" s="193"/>
      <c r="DD105" s="193"/>
      <c r="DE105" s="193"/>
      <c r="DF105" s="193"/>
      <c r="DG105" s="193"/>
      <c r="DH105" s="193"/>
      <c r="DI105" s="193"/>
      <c r="DJ105" s="193"/>
      <c r="DK105" s="193"/>
      <c r="DL105" s="193"/>
      <c r="DM105" s="193"/>
      <c r="DN105" s="193"/>
      <c r="DO105" s="193"/>
      <c r="DP105" s="193"/>
      <c r="DQ105" s="193"/>
      <c r="DR105" s="193"/>
      <c r="DS105" s="193"/>
      <c r="DT105" s="193"/>
      <c r="DU105" s="193"/>
      <c r="DV105" s="193"/>
      <c r="DW105" s="193"/>
      <c r="DX105" s="193"/>
      <c r="DY105" s="193"/>
      <c r="DZ105" s="193"/>
      <c r="EA105" s="193"/>
      <c r="EB105" s="193"/>
      <c r="EC105" s="193"/>
      <c r="ED105" s="193"/>
      <c r="EE105" s="193"/>
      <c r="EF105" s="193"/>
      <c r="EG105" s="193"/>
      <c r="EH105" s="193"/>
      <c r="EI105" s="193"/>
      <c r="EJ105" s="193"/>
      <c r="EK105" s="193"/>
      <c r="EL105" s="193"/>
      <c r="EM105" s="193"/>
      <c r="EN105" s="193"/>
      <c r="EO105" s="193"/>
      <c r="EP105" s="193"/>
      <c r="EQ105" s="193"/>
      <c r="ER105" s="193"/>
      <c r="ES105" s="193"/>
      <c r="ET105" s="193"/>
      <c r="EU105" s="193"/>
      <c r="EV105" s="193"/>
      <c r="EW105" s="193"/>
      <c r="EX105" s="193"/>
      <c r="EY105" s="193"/>
      <c r="EZ105" s="193"/>
      <c r="FA105" s="193"/>
      <c r="FB105" s="193"/>
      <c r="FC105" s="193"/>
      <c r="FD105" s="193"/>
      <c r="FE105" s="193"/>
      <c r="FF105" s="193"/>
      <c r="FG105" s="193"/>
      <c r="FH105" s="193"/>
      <c r="FI105" s="193"/>
      <c r="FJ105" s="193"/>
      <c r="FK105" s="193"/>
      <c r="FL105" s="193"/>
      <c r="FM105" s="193"/>
      <c r="FN105" s="193"/>
      <c r="FO105" s="193"/>
      <c r="FP105" s="193"/>
      <c r="FQ105" s="193"/>
      <c r="FR105" s="193"/>
      <c r="FS105" s="193"/>
      <c r="FT105" s="193"/>
      <c r="FU105" s="193"/>
      <c r="FV105" s="193"/>
      <c r="FW105" s="193"/>
      <c r="FX105" s="193"/>
      <c r="FY105" s="193"/>
      <c r="FZ105" s="193"/>
      <c r="GA105" s="193"/>
      <c r="GB105" s="193"/>
      <c r="GC105" s="193"/>
      <c r="GD105" s="193"/>
      <c r="GE105" s="193"/>
      <c r="GF105" s="193"/>
      <c r="GG105" s="193"/>
      <c r="GH105" s="193"/>
      <c r="GI105" s="193"/>
      <c r="GJ105" s="193"/>
      <c r="GK105" s="193"/>
      <c r="GL105" s="193"/>
      <c r="GM105" s="193"/>
      <c r="GN105" s="193"/>
      <c r="GO105" s="193"/>
      <c r="GP105" s="193"/>
      <c r="GQ105" s="193"/>
      <c r="GR105" s="193"/>
      <c r="GS105" s="193"/>
      <c r="GT105" s="193"/>
      <c r="GU105" s="193"/>
      <c r="GV105" s="193"/>
      <c r="GW105" s="193"/>
      <c r="GX105" s="193"/>
      <c r="GY105" s="193"/>
      <c r="GZ105" s="193"/>
      <c r="HA105" s="193"/>
      <c r="HB105" s="193"/>
      <c r="HC105" s="193"/>
      <c r="HD105" s="193"/>
      <c r="HE105" s="193"/>
      <c r="HF105" s="193"/>
      <c r="HG105" s="193"/>
      <c r="HH105" s="193"/>
      <c r="HI105" s="193"/>
      <c r="HJ105" s="193"/>
      <c r="HK105" s="193"/>
      <c r="HL105" s="193"/>
      <c r="HM105" s="193"/>
      <c r="HN105" s="193"/>
      <c r="HO105" s="193"/>
      <c r="HP105" s="193"/>
      <c r="HQ105" s="193"/>
      <c r="HR105" s="193"/>
      <c r="HS105" s="193"/>
      <c r="HT105" s="193"/>
      <c r="HU105" s="193"/>
      <c r="HV105" s="193"/>
      <c r="HW105" s="193"/>
      <c r="HX105" s="193"/>
      <c r="HY105" s="193"/>
      <c r="HZ105" s="193"/>
      <c r="IA105" s="193"/>
      <c r="IB105" s="193"/>
      <c r="IC105" s="193"/>
      <c r="ID105" s="193"/>
      <c r="IE105" s="193"/>
      <c r="IF105" s="193"/>
      <c r="IG105" s="193"/>
      <c r="IH105" s="193"/>
      <c r="II105" s="193"/>
      <c r="IJ105" s="193"/>
      <c r="IK105" s="193"/>
      <c r="IL105" s="193"/>
      <c r="IM105" s="193"/>
      <c r="IN105" s="193"/>
      <c r="IO105" s="193"/>
      <c r="IP105" s="193"/>
      <c r="IQ105" s="193"/>
      <c r="IR105" s="193"/>
      <c r="IS105" s="193"/>
      <c r="IT105" s="193"/>
      <c r="IU105" s="193"/>
      <c r="IV105" s="193"/>
    </row>
    <row r="106" spans="1:256" s="45" customFormat="1" ht="16.5" customHeight="1" x14ac:dyDescent="0.2">
      <c r="A106" s="498" t="s">
        <v>419</v>
      </c>
      <c r="B106" s="193"/>
      <c r="C106" s="193"/>
      <c r="D106" s="193"/>
      <c r="E106" s="193"/>
      <c r="F106" s="193"/>
      <c r="G106" s="193"/>
      <c r="H106" s="677"/>
      <c r="I106" s="677"/>
      <c r="J106" s="677"/>
      <c r="K106" s="677"/>
      <c r="L106" s="677"/>
      <c r="M106" s="677"/>
      <c r="N106" s="677"/>
      <c r="O106" s="677"/>
      <c r="P106" s="677"/>
      <c r="Q106" s="677"/>
      <c r="R106" s="677"/>
      <c r="S106" s="677"/>
      <c r="T106" s="677"/>
      <c r="U106" s="677"/>
      <c r="V106" s="677"/>
      <c r="W106" s="677"/>
      <c r="X106" s="677"/>
      <c r="Y106" s="677"/>
      <c r="Z106" s="677"/>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3"/>
      <c r="AX106" s="193"/>
      <c r="AY106" s="193"/>
      <c r="AZ106" s="193"/>
      <c r="BA106" s="193"/>
      <c r="BB106" s="193"/>
      <c r="BC106" s="193"/>
      <c r="BD106" s="193"/>
      <c r="BE106" s="193"/>
      <c r="BF106" s="193"/>
      <c r="BG106" s="193"/>
      <c r="BH106" s="193"/>
      <c r="BI106" s="193"/>
      <c r="BJ106" s="193"/>
      <c r="BK106" s="193"/>
      <c r="BL106" s="193"/>
      <c r="BM106" s="193"/>
      <c r="BN106" s="193"/>
      <c r="BO106" s="193"/>
      <c r="BP106" s="193"/>
      <c r="BQ106" s="193"/>
      <c r="BR106" s="193"/>
      <c r="BS106" s="193"/>
      <c r="BT106" s="193"/>
      <c r="BU106" s="193"/>
      <c r="BV106" s="193"/>
      <c r="BW106" s="193"/>
      <c r="BX106" s="193"/>
      <c r="BY106" s="193"/>
      <c r="BZ106" s="193"/>
      <c r="CA106" s="193"/>
      <c r="CB106" s="193"/>
      <c r="CC106" s="193"/>
      <c r="CD106" s="193"/>
      <c r="CE106" s="193"/>
      <c r="CF106" s="193"/>
      <c r="CG106" s="193"/>
      <c r="CH106" s="193"/>
      <c r="CI106" s="193"/>
      <c r="CJ106" s="193"/>
      <c r="CK106" s="193"/>
      <c r="CL106" s="193"/>
      <c r="CM106" s="193"/>
      <c r="CN106" s="193"/>
      <c r="CO106" s="193"/>
      <c r="CP106" s="193"/>
      <c r="CQ106" s="193"/>
      <c r="CR106" s="193"/>
      <c r="CS106" s="193"/>
      <c r="CT106" s="193"/>
      <c r="CU106" s="193"/>
      <c r="CV106" s="193"/>
      <c r="CW106" s="193"/>
      <c r="CX106" s="193"/>
      <c r="CY106" s="193"/>
      <c r="CZ106" s="193"/>
      <c r="DA106" s="193"/>
      <c r="DB106" s="193"/>
      <c r="DC106" s="193"/>
      <c r="DD106" s="193"/>
      <c r="DE106" s="193"/>
      <c r="DF106" s="193"/>
      <c r="DG106" s="193"/>
      <c r="DH106" s="193"/>
      <c r="DI106" s="193"/>
      <c r="DJ106" s="193"/>
      <c r="DK106" s="193"/>
      <c r="DL106" s="193"/>
      <c r="DM106" s="193"/>
      <c r="DN106" s="193"/>
      <c r="DO106" s="193"/>
      <c r="DP106" s="193"/>
      <c r="DQ106" s="193"/>
      <c r="DR106" s="193"/>
      <c r="DS106" s="193"/>
      <c r="DT106" s="193"/>
      <c r="DU106" s="193"/>
      <c r="DV106" s="193"/>
      <c r="DW106" s="193"/>
      <c r="DX106" s="193"/>
      <c r="DY106" s="193"/>
      <c r="DZ106" s="193"/>
      <c r="EA106" s="193"/>
      <c r="EB106" s="193"/>
      <c r="EC106" s="193"/>
      <c r="ED106" s="193"/>
      <c r="EE106" s="193"/>
      <c r="EF106" s="193"/>
      <c r="EG106" s="193"/>
      <c r="EH106" s="193"/>
      <c r="EI106" s="193"/>
      <c r="EJ106" s="193"/>
      <c r="EK106" s="193"/>
      <c r="EL106" s="193"/>
      <c r="EM106" s="193"/>
      <c r="EN106" s="193"/>
      <c r="EO106" s="193"/>
      <c r="EP106" s="193"/>
      <c r="EQ106" s="193"/>
      <c r="ER106" s="193"/>
      <c r="ES106" s="193"/>
      <c r="ET106" s="193"/>
      <c r="EU106" s="193"/>
      <c r="EV106" s="193"/>
      <c r="EW106" s="193"/>
      <c r="EX106" s="193"/>
      <c r="EY106" s="193"/>
      <c r="EZ106" s="193"/>
      <c r="FA106" s="193"/>
      <c r="FB106" s="193"/>
      <c r="FC106" s="193"/>
      <c r="FD106" s="193"/>
      <c r="FE106" s="193"/>
      <c r="FF106" s="193"/>
      <c r="FG106" s="193"/>
      <c r="FH106" s="193"/>
      <c r="FI106" s="193"/>
      <c r="FJ106" s="193"/>
      <c r="FK106" s="193"/>
      <c r="FL106" s="193"/>
      <c r="FM106" s="193"/>
      <c r="FN106" s="193"/>
      <c r="FO106" s="193"/>
      <c r="FP106" s="193"/>
      <c r="FQ106" s="193"/>
      <c r="FR106" s="193"/>
      <c r="FS106" s="193"/>
      <c r="FT106" s="193"/>
      <c r="FU106" s="193"/>
      <c r="FV106" s="193"/>
      <c r="FW106" s="193"/>
      <c r="FX106" s="193"/>
      <c r="FY106" s="193"/>
      <c r="FZ106" s="193"/>
      <c r="GA106" s="193"/>
      <c r="GB106" s="193"/>
      <c r="GC106" s="193"/>
      <c r="GD106" s="193"/>
      <c r="GE106" s="193"/>
      <c r="GF106" s="193"/>
      <c r="GG106" s="193"/>
      <c r="GH106" s="193"/>
      <c r="GI106" s="193"/>
      <c r="GJ106" s="193"/>
      <c r="GK106" s="193"/>
      <c r="GL106" s="193"/>
      <c r="GM106" s="193"/>
      <c r="GN106" s="193"/>
      <c r="GO106" s="193"/>
      <c r="GP106" s="193"/>
      <c r="GQ106" s="193"/>
      <c r="GR106" s="193"/>
      <c r="GS106" s="193"/>
      <c r="GT106" s="193"/>
      <c r="GU106" s="193"/>
      <c r="GV106" s="193"/>
      <c r="GW106" s="193"/>
      <c r="GX106" s="193"/>
      <c r="GY106" s="193"/>
      <c r="GZ106" s="193"/>
      <c r="HA106" s="193"/>
      <c r="HB106" s="193"/>
      <c r="HC106" s="193"/>
      <c r="HD106" s="193"/>
      <c r="HE106" s="193"/>
      <c r="HF106" s="193"/>
      <c r="HG106" s="193"/>
      <c r="HH106" s="193"/>
      <c r="HI106" s="193"/>
      <c r="HJ106" s="193"/>
      <c r="HK106" s="193"/>
      <c r="HL106" s="193"/>
      <c r="HM106" s="193"/>
      <c r="HN106" s="193"/>
      <c r="HO106" s="193"/>
      <c r="HP106" s="193"/>
      <c r="HQ106" s="193"/>
      <c r="HR106" s="193"/>
      <c r="HS106" s="193"/>
      <c r="HT106" s="193"/>
      <c r="HU106" s="193"/>
      <c r="HV106" s="193"/>
      <c r="HW106" s="193"/>
      <c r="HX106" s="193"/>
      <c r="HY106" s="193"/>
      <c r="HZ106" s="193"/>
      <c r="IA106" s="193"/>
      <c r="IB106" s="193"/>
      <c r="IC106" s="193"/>
      <c r="ID106" s="193"/>
      <c r="IE106" s="193"/>
      <c r="IF106" s="193"/>
      <c r="IG106" s="193"/>
      <c r="IH106" s="193"/>
      <c r="II106" s="193"/>
      <c r="IJ106" s="193"/>
      <c r="IK106" s="193"/>
      <c r="IL106" s="193"/>
      <c r="IM106" s="193"/>
      <c r="IN106" s="193"/>
      <c r="IO106" s="193"/>
      <c r="IP106" s="193"/>
      <c r="IQ106" s="193"/>
      <c r="IR106" s="193"/>
      <c r="IS106" s="193"/>
      <c r="IT106" s="193"/>
      <c r="IU106" s="193"/>
      <c r="IV106" s="193"/>
    </row>
    <row r="107" spans="1:256" s="346" customFormat="1" ht="16.5" customHeight="1" x14ac:dyDescent="0.2">
      <c r="A107" s="32" t="s">
        <v>99</v>
      </c>
      <c r="B107" s="9">
        <f t="shared" ref="B107:G107" si="9">B85</f>
        <v>1118</v>
      </c>
      <c r="C107" s="9">
        <f t="shared" si="9"/>
        <v>1277</v>
      </c>
      <c r="D107" s="9">
        <f t="shared" si="9"/>
        <v>1314</v>
      </c>
      <c r="E107" s="9">
        <f t="shared" si="9"/>
        <v>1343</v>
      </c>
      <c r="F107" s="9">
        <f t="shared" si="9"/>
        <v>1282</v>
      </c>
      <c r="G107" s="9">
        <f t="shared" si="9"/>
        <v>990</v>
      </c>
      <c r="H107" s="718"/>
      <c r="I107" s="718"/>
      <c r="J107" s="718"/>
      <c r="K107" s="718"/>
      <c r="L107" s="718"/>
      <c r="M107" s="718"/>
      <c r="N107" s="718"/>
      <c r="O107" s="718"/>
      <c r="P107" s="718"/>
      <c r="Q107" s="718"/>
      <c r="R107" s="718"/>
      <c r="S107" s="718"/>
      <c r="T107" s="718"/>
      <c r="U107" s="718"/>
      <c r="V107" s="718"/>
      <c r="W107" s="718"/>
      <c r="X107" s="718"/>
      <c r="Y107" s="718"/>
      <c r="Z107" s="718"/>
      <c r="AA107" s="96"/>
      <c r="AB107" s="96"/>
      <c r="AC107" s="96"/>
      <c r="AD107" s="96"/>
      <c r="AE107" s="96"/>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c r="BC107" s="96"/>
      <c r="BD107" s="96"/>
      <c r="BE107" s="96"/>
      <c r="BF107" s="96"/>
      <c r="BG107" s="96"/>
      <c r="BH107" s="96"/>
      <c r="BI107" s="96"/>
      <c r="BJ107" s="96"/>
      <c r="BK107" s="96"/>
      <c r="BL107" s="96"/>
      <c r="BM107" s="96"/>
      <c r="BN107" s="96"/>
      <c r="BO107" s="96"/>
      <c r="BP107" s="96"/>
      <c r="BQ107" s="96"/>
      <c r="BR107" s="96"/>
      <c r="BS107" s="96"/>
      <c r="BT107" s="96"/>
      <c r="BU107" s="96"/>
      <c r="BV107" s="96"/>
      <c r="BW107" s="96"/>
      <c r="BX107" s="96"/>
      <c r="BY107" s="96"/>
      <c r="BZ107" s="96"/>
      <c r="CA107" s="96"/>
      <c r="CB107" s="96"/>
      <c r="CC107" s="96"/>
      <c r="CD107" s="96"/>
      <c r="CE107" s="96"/>
      <c r="CF107" s="96"/>
      <c r="CG107" s="96"/>
      <c r="CH107" s="96"/>
      <c r="CI107" s="96"/>
      <c r="CJ107" s="96"/>
      <c r="CK107" s="96"/>
      <c r="CL107" s="96"/>
      <c r="CM107" s="96"/>
      <c r="CN107" s="96"/>
      <c r="CO107" s="96"/>
      <c r="CP107" s="96"/>
      <c r="CQ107" s="96"/>
      <c r="CR107" s="96"/>
      <c r="CS107" s="96"/>
      <c r="CT107" s="96"/>
      <c r="CU107" s="96"/>
      <c r="CV107" s="96"/>
      <c r="CW107" s="96"/>
      <c r="CX107" s="96"/>
      <c r="CY107" s="96"/>
      <c r="CZ107" s="96"/>
      <c r="DA107" s="96"/>
      <c r="DB107" s="96"/>
      <c r="DC107" s="96"/>
      <c r="DD107" s="96"/>
      <c r="DE107" s="96"/>
      <c r="DF107" s="96"/>
      <c r="DG107" s="96"/>
      <c r="DH107" s="96"/>
      <c r="DI107" s="96"/>
      <c r="DJ107" s="96"/>
      <c r="DK107" s="96"/>
      <c r="DL107" s="96"/>
      <c r="DM107" s="96"/>
      <c r="DN107" s="96"/>
      <c r="DO107" s="96"/>
      <c r="DP107" s="96"/>
      <c r="DQ107" s="96"/>
      <c r="DR107" s="96"/>
      <c r="DS107" s="96"/>
      <c r="DT107" s="96"/>
      <c r="DU107" s="96"/>
      <c r="DV107" s="96"/>
      <c r="DW107" s="96"/>
      <c r="DX107" s="96"/>
      <c r="DY107" s="96"/>
      <c r="DZ107" s="96"/>
      <c r="EA107" s="96"/>
      <c r="EB107" s="96"/>
      <c r="EC107" s="96"/>
      <c r="ED107" s="96"/>
      <c r="EE107" s="96"/>
      <c r="EF107" s="96"/>
      <c r="EG107" s="96"/>
      <c r="EH107" s="96"/>
      <c r="EI107" s="96"/>
      <c r="EJ107" s="96"/>
      <c r="EK107" s="96"/>
      <c r="EL107" s="96"/>
      <c r="EM107" s="96"/>
      <c r="EN107" s="96"/>
      <c r="EO107" s="96"/>
      <c r="EP107" s="96"/>
      <c r="EQ107" s="96"/>
      <c r="ER107" s="96"/>
      <c r="ES107" s="96"/>
      <c r="ET107" s="96"/>
      <c r="EU107" s="96"/>
      <c r="EV107" s="96"/>
      <c r="EW107" s="96"/>
      <c r="EX107" s="96"/>
      <c r="EY107" s="96"/>
      <c r="EZ107" s="96"/>
      <c r="FA107" s="96"/>
      <c r="FB107" s="96"/>
      <c r="FC107" s="96"/>
      <c r="FD107" s="96"/>
      <c r="FE107" s="96"/>
      <c r="FF107" s="96"/>
      <c r="FG107" s="96"/>
      <c r="FH107" s="96"/>
      <c r="FI107" s="96"/>
      <c r="FJ107" s="96"/>
      <c r="FK107" s="96"/>
      <c r="FL107" s="96"/>
      <c r="FM107" s="96"/>
      <c r="FN107" s="96"/>
      <c r="FO107" s="96"/>
      <c r="FP107" s="96"/>
      <c r="FQ107" s="96"/>
      <c r="FR107" s="96"/>
      <c r="FS107" s="96"/>
      <c r="FT107" s="96"/>
      <c r="FU107" s="96"/>
      <c r="FV107" s="96"/>
      <c r="FW107" s="96"/>
      <c r="FX107" s="96"/>
      <c r="FY107" s="96"/>
      <c r="FZ107" s="96"/>
      <c r="GA107" s="96"/>
      <c r="GB107" s="96"/>
      <c r="GC107" s="96"/>
      <c r="GD107" s="96"/>
      <c r="GE107" s="96"/>
      <c r="GF107" s="96"/>
      <c r="GG107" s="96"/>
      <c r="GH107" s="96"/>
      <c r="GI107" s="96"/>
      <c r="GJ107" s="96"/>
      <c r="GK107" s="96"/>
      <c r="GL107" s="96"/>
      <c r="GM107" s="96"/>
      <c r="GN107" s="96"/>
      <c r="GO107" s="96"/>
      <c r="GP107" s="96"/>
      <c r="GQ107" s="96"/>
      <c r="GR107" s="96"/>
      <c r="GS107" s="96"/>
      <c r="GT107" s="96"/>
      <c r="GU107" s="96"/>
      <c r="GV107" s="96"/>
      <c r="GW107" s="96"/>
      <c r="GX107" s="96"/>
      <c r="GY107" s="96"/>
      <c r="GZ107" s="96"/>
      <c r="HA107" s="96"/>
      <c r="HB107" s="96"/>
      <c r="HC107" s="96"/>
      <c r="HD107" s="96"/>
      <c r="HE107" s="96"/>
      <c r="HF107" s="96"/>
      <c r="HG107" s="96"/>
      <c r="HH107" s="96"/>
      <c r="HI107" s="96"/>
      <c r="HJ107" s="96"/>
      <c r="HK107" s="96"/>
      <c r="HL107" s="96"/>
      <c r="HM107" s="96"/>
      <c r="HN107" s="96"/>
      <c r="HO107" s="96"/>
      <c r="HP107" s="96"/>
      <c r="HQ107" s="96"/>
      <c r="HR107" s="96"/>
      <c r="HS107" s="96"/>
      <c r="HT107" s="96"/>
      <c r="HU107" s="96"/>
      <c r="HV107" s="96"/>
      <c r="HW107" s="96"/>
      <c r="HX107" s="96"/>
      <c r="HY107" s="96"/>
      <c r="HZ107" s="96"/>
      <c r="IA107" s="96"/>
      <c r="IB107" s="96"/>
      <c r="IC107" s="96"/>
      <c r="ID107" s="96"/>
      <c r="IE107" s="96"/>
      <c r="IF107" s="96"/>
      <c r="IG107" s="96"/>
      <c r="IH107" s="96"/>
      <c r="II107" s="96"/>
      <c r="IJ107" s="96"/>
      <c r="IK107" s="96"/>
      <c r="IL107" s="96"/>
      <c r="IM107" s="96"/>
      <c r="IN107" s="96"/>
      <c r="IO107" s="96"/>
      <c r="IP107" s="96"/>
      <c r="IQ107" s="96"/>
      <c r="IR107" s="96"/>
      <c r="IS107" s="96"/>
      <c r="IT107" s="96"/>
      <c r="IU107" s="96"/>
      <c r="IV107" s="96"/>
    </row>
    <row r="108" spans="1:256" s="495" customFormat="1" ht="16.5" customHeight="1" x14ac:dyDescent="0.2">
      <c r="A108" s="75" t="str">
        <f t="shared" ref="A108:G108" si="10">A88</f>
        <v>Gain (loss) on spin-off of subsidiary</v>
      </c>
      <c r="B108" s="75">
        <f t="shared" si="10"/>
        <v>0</v>
      </c>
      <c r="C108" s="75">
        <f t="shared" si="10"/>
        <v>0</v>
      </c>
      <c r="D108" s="75">
        <f t="shared" si="10"/>
        <v>0</v>
      </c>
      <c r="E108" s="75">
        <f t="shared" si="10"/>
        <v>0</v>
      </c>
      <c r="F108" s="75">
        <f t="shared" si="10"/>
        <v>0</v>
      </c>
      <c r="G108" s="75">
        <f t="shared" si="10"/>
        <v>0</v>
      </c>
      <c r="H108" s="725" t="s">
        <v>1035</v>
      </c>
      <c r="I108" s="725"/>
      <c r="J108" s="725"/>
      <c r="K108" s="725"/>
      <c r="L108" s="725"/>
      <c r="M108" s="725"/>
      <c r="N108" s="725"/>
      <c r="O108" s="725"/>
      <c r="P108" s="725"/>
      <c r="Q108" s="725"/>
      <c r="R108" s="725"/>
      <c r="S108" s="725"/>
      <c r="T108" s="725"/>
      <c r="U108" s="725"/>
      <c r="V108" s="725"/>
      <c r="W108" s="725"/>
      <c r="X108" s="725"/>
      <c r="Y108" s="725"/>
      <c r="Z108" s="725"/>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49"/>
      <c r="DA108" s="149"/>
      <c r="DB108" s="149"/>
      <c r="DC108" s="149"/>
      <c r="DD108" s="149"/>
      <c r="DE108" s="149"/>
      <c r="DF108" s="149"/>
      <c r="DG108" s="149"/>
      <c r="DH108" s="149"/>
      <c r="DI108" s="149"/>
      <c r="DJ108" s="149"/>
      <c r="DK108" s="149"/>
      <c r="DL108" s="149"/>
      <c r="DM108" s="149"/>
      <c r="DN108" s="149"/>
      <c r="DO108" s="149"/>
      <c r="DP108" s="149"/>
      <c r="DQ108" s="149"/>
      <c r="DR108" s="149"/>
      <c r="DS108" s="149"/>
      <c r="DT108" s="149"/>
      <c r="DU108" s="149"/>
      <c r="DV108" s="149"/>
      <c r="DW108" s="149"/>
      <c r="DX108" s="149"/>
      <c r="DY108" s="149"/>
      <c r="DZ108" s="149"/>
      <c r="EA108" s="149"/>
      <c r="EB108" s="149"/>
      <c r="EC108" s="149"/>
      <c r="ED108" s="149"/>
      <c r="EE108" s="149"/>
      <c r="EF108" s="149"/>
      <c r="EG108" s="149"/>
      <c r="EH108" s="149"/>
      <c r="EI108" s="149"/>
      <c r="EJ108" s="149"/>
      <c r="EK108" s="149"/>
      <c r="EL108" s="149"/>
      <c r="EM108" s="149"/>
      <c r="EN108" s="149"/>
      <c r="EO108" s="149"/>
      <c r="EP108" s="149"/>
      <c r="EQ108" s="149"/>
      <c r="ER108" s="149"/>
      <c r="ES108" s="149"/>
      <c r="ET108" s="149"/>
      <c r="EU108" s="149"/>
      <c r="EV108" s="149"/>
      <c r="EW108" s="149"/>
      <c r="EX108" s="149"/>
      <c r="EY108" s="149"/>
      <c r="EZ108" s="149"/>
      <c r="FA108" s="149"/>
      <c r="FB108" s="149"/>
      <c r="FC108" s="149"/>
      <c r="FD108" s="149"/>
      <c r="FE108" s="149"/>
      <c r="FF108" s="149"/>
      <c r="FG108" s="149"/>
      <c r="FH108" s="149"/>
      <c r="FI108" s="149"/>
      <c r="FJ108" s="149"/>
      <c r="FK108" s="149"/>
      <c r="FL108" s="149"/>
      <c r="FM108" s="149"/>
      <c r="FN108" s="149"/>
      <c r="FO108" s="149"/>
      <c r="FP108" s="149"/>
      <c r="FQ108" s="149"/>
      <c r="FR108" s="149"/>
      <c r="FS108" s="149"/>
      <c r="FT108" s="149"/>
      <c r="FU108" s="149"/>
      <c r="FV108" s="149"/>
      <c r="FW108" s="149"/>
      <c r="FX108" s="149"/>
      <c r="FY108" s="149"/>
      <c r="FZ108" s="149"/>
      <c r="GA108" s="149"/>
      <c r="GB108" s="149"/>
      <c r="GC108" s="149"/>
      <c r="GD108" s="149"/>
      <c r="GE108" s="149"/>
      <c r="GF108" s="149"/>
      <c r="GG108" s="149"/>
      <c r="GH108" s="149"/>
      <c r="GI108" s="149"/>
      <c r="GJ108" s="149"/>
      <c r="GK108" s="149"/>
      <c r="GL108" s="149"/>
      <c r="GM108" s="149"/>
      <c r="GN108" s="149"/>
      <c r="GO108" s="149"/>
      <c r="GP108" s="149"/>
      <c r="GQ108" s="149"/>
      <c r="GR108" s="149"/>
      <c r="GS108" s="149"/>
      <c r="GT108" s="149"/>
      <c r="GU108" s="149"/>
      <c r="GV108" s="149"/>
      <c r="GW108" s="149"/>
      <c r="GX108" s="149"/>
      <c r="GY108" s="149"/>
      <c r="GZ108" s="149"/>
      <c r="HA108" s="149"/>
      <c r="HB108" s="149"/>
      <c r="HC108" s="149"/>
      <c r="HD108" s="149"/>
      <c r="HE108" s="149"/>
      <c r="HF108" s="149"/>
      <c r="HG108" s="149"/>
      <c r="HH108" s="149"/>
      <c r="HI108" s="149"/>
      <c r="HJ108" s="149"/>
      <c r="HK108" s="149"/>
      <c r="HL108" s="149"/>
      <c r="HM108" s="149"/>
      <c r="HN108" s="149"/>
      <c r="HO108" s="149"/>
      <c r="HP108" s="149"/>
      <c r="HQ108" s="149"/>
      <c r="HR108" s="149"/>
      <c r="HS108" s="149"/>
      <c r="HT108" s="149"/>
      <c r="HU108" s="149"/>
      <c r="HV108" s="149"/>
      <c r="HW108" s="149"/>
      <c r="HX108" s="149"/>
      <c r="HY108" s="149"/>
      <c r="HZ108" s="149"/>
      <c r="IA108" s="149"/>
      <c r="IB108" s="149"/>
      <c r="IC108" s="149"/>
      <c r="ID108" s="149"/>
      <c r="IE108" s="149"/>
      <c r="IF108" s="149"/>
      <c r="IG108" s="149"/>
      <c r="IH108" s="149"/>
      <c r="II108" s="149"/>
      <c r="IJ108" s="149"/>
      <c r="IK108" s="149"/>
      <c r="IL108" s="149"/>
      <c r="IM108" s="149"/>
      <c r="IN108" s="149"/>
      <c r="IO108" s="149"/>
      <c r="IP108" s="149"/>
      <c r="IQ108" s="149"/>
      <c r="IR108" s="149"/>
      <c r="IS108" s="149"/>
      <c r="IT108" s="149"/>
      <c r="IU108" s="149"/>
      <c r="IV108" s="149"/>
    </row>
    <row r="109" spans="1:256" s="495" customFormat="1" ht="16.5" customHeight="1" x14ac:dyDescent="0.2">
      <c r="A109" s="75" t="str">
        <f t="shared" ref="A109:G113" si="11">A91</f>
        <v>Gain (loss) on disposal of PP&amp;E</v>
      </c>
      <c r="B109" s="75">
        <f t="shared" si="11"/>
        <v>0</v>
      </c>
      <c r="C109" s="75">
        <f t="shared" si="11"/>
        <v>0</v>
      </c>
      <c r="D109" s="75">
        <f t="shared" si="11"/>
        <v>0</v>
      </c>
      <c r="E109" s="75">
        <f t="shared" si="11"/>
        <v>0</v>
      </c>
      <c r="F109" s="75">
        <f t="shared" si="11"/>
        <v>0</v>
      </c>
      <c r="G109" s="75">
        <f t="shared" si="11"/>
        <v>0</v>
      </c>
      <c r="H109" s="725" t="s">
        <v>1035</v>
      </c>
      <c r="I109" s="725"/>
      <c r="J109" s="725"/>
      <c r="K109" s="725"/>
      <c r="L109" s="725"/>
      <c r="M109" s="725"/>
      <c r="N109" s="725"/>
      <c r="O109" s="725"/>
      <c r="P109" s="725"/>
      <c r="Q109" s="725"/>
      <c r="R109" s="725"/>
      <c r="S109" s="725"/>
      <c r="T109" s="725"/>
      <c r="U109" s="725"/>
      <c r="V109" s="725"/>
      <c r="W109" s="725"/>
      <c r="X109" s="725"/>
      <c r="Y109" s="725"/>
      <c r="Z109" s="725"/>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49"/>
      <c r="DA109" s="149"/>
      <c r="DB109" s="149"/>
      <c r="DC109" s="149"/>
      <c r="DD109" s="149"/>
      <c r="DE109" s="149"/>
      <c r="DF109" s="149"/>
      <c r="DG109" s="149"/>
      <c r="DH109" s="149"/>
      <c r="DI109" s="149"/>
      <c r="DJ109" s="149"/>
      <c r="DK109" s="149"/>
      <c r="DL109" s="149"/>
      <c r="DM109" s="149"/>
      <c r="DN109" s="149"/>
      <c r="DO109" s="149"/>
      <c r="DP109" s="149"/>
      <c r="DQ109" s="149"/>
      <c r="DR109" s="149"/>
      <c r="DS109" s="149"/>
      <c r="DT109" s="149"/>
      <c r="DU109" s="149"/>
      <c r="DV109" s="149"/>
      <c r="DW109" s="149"/>
      <c r="DX109" s="149"/>
      <c r="DY109" s="149"/>
      <c r="DZ109" s="149"/>
      <c r="EA109" s="149"/>
      <c r="EB109" s="149"/>
      <c r="EC109" s="149"/>
      <c r="ED109" s="149"/>
      <c r="EE109" s="149"/>
      <c r="EF109" s="149"/>
      <c r="EG109" s="149"/>
      <c r="EH109" s="149"/>
      <c r="EI109" s="149"/>
      <c r="EJ109" s="149"/>
      <c r="EK109" s="149"/>
      <c r="EL109" s="149"/>
      <c r="EM109" s="149"/>
      <c r="EN109" s="149"/>
      <c r="EO109" s="149"/>
      <c r="EP109" s="149"/>
      <c r="EQ109" s="149"/>
      <c r="ER109" s="149"/>
      <c r="ES109" s="149"/>
      <c r="ET109" s="149"/>
      <c r="EU109" s="149"/>
      <c r="EV109" s="149"/>
      <c r="EW109" s="149"/>
      <c r="EX109" s="149"/>
      <c r="EY109" s="149"/>
      <c r="EZ109" s="149"/>
      <c r="FA109" s="149"/>
      <c r="FB109" s="149"/>
      <c r="FC109" s="149"/>
      <c r="FD109" s="149"/>
      <c r="FE109" s="149"/>
      <c r="FF109" s="149"/>
      <c r="FG109" s="149"/>
      <c r="FH109" s="149"/>
      <c r="FI109" s="149"/>
      <c r="FJ109" s="149"/>
      <c r="FK109" s="149"/>
      <c r="FL109" s="149"/>
      <c r="FM109" s="149"/>
      <c r="FN109" s="149"/>
      <c r="FO109" s="149"/>
      <c r="FP109" s="149"/>
      <c r="FQ109" s="149"/>
      <c r="FR109" s="149"/>
      <c r="FS109" s="149"/>
      <c r="FT109" s="149"/>
      <c r="FU109" s="149"/>
      <c r="FV109" s="149"/>
      <c r="FW109" s="149"/>
      <c r="FX109" s="149"/>
      <c r="FY109" s="149"/>
      <c r="FZ109" s="149"/>
      <c r="GA109" s="149"/>
      <c r="GB109" s="149"/>
      <c r="GC109" s="149"/>
      <c r="GD109" s="149"/>
      <c r="GE109" s="149"/>
      <c r="GF109" s="149"/>
      <c r="GG109" s="149"/>
      <c r="GH109" s="149"/>
      <c r="GI109" s="149"/>
      <c r="GJ109" s="149"/>
      <c r="GK109" s="149"/>
      <c r="GL109" s="149"/>
      <c r="GM109" s="149"/>
      <c r="GN109" s="149"/>
      <c r="GO109" s="149"/>
      <c r="GP109" s="149"/>
      <c r="GQ109" s="149"/>
      <c r="GR109" s="149"/>
      <c r="GS109" s="149"/>
      <c r="GT109" s="149"/>
      <c r="GU109" s="149"/>
      <c r="GV109" s="149"/>
      <c r="GW109" s="149"/>
      <c r="GX109" s="149"/>
      <c r="GY109" s="149"/>
      <c r="GZ109" s="149"/>
      <c r="HA109" s="149"/>
      <c r="HB109" s="149"/>
      <c r="HC109" s="149"/>
      <c r="HD109" s="149"/>
      <c r="HE109" s="149"/>
      <c r="HF109" s="149"/>
      <c r="HG109" s="149"/>
      <c r="HH109" s="149"/>
      <c r="HI109" s="149"/>
      <c r="HJ109" s="149"/>
      <c r="HK109" s="149"/>
      <c r="HL109" s="149"/>
      <c r="HM109" s="149"/>
      <c r="HN109" s="149"/>
      <c r="HO109" s="149"/>
      <c r="HP109" s="149"/>
      <c r="HQ109" s="149"/>
      <c r="HR109" s="149"/>
      <c r="HS109" s="149"/>
      <c r="HT109" s="149"/>
      <c r="HU109" s="149"/>
      <c r="HV109" s="149"/>
      <c r="HW109" s="149"/>
      <c r="HX109" s="149"/>
      <c r="HY109" s="149"/>
      <c r="HZ109" s="149"/>
      <c r="IA109" s="149"/>
      <c r="IB109" s="149"/>
      <c r="IC109" s="149"/>
      <c r="ID109" s="149"/>
      <c r="IE109" s="149"/>
      <c r="IF109" s="149"/>
      <c r="IG109" s="149"/>
      <c r="IH109" s="149"/>
      <c r="II109" s="149"/>
      <c r="IJ109" s="149"/>
      <c r="IK109" s="149"/>
      <c r="IL109" s="149"/>
      <c r="IM109" s="149"/>
      <c r="IN109" s="149"/>
      <c r="IO109" s="149"/>
      <c r="IP109" s="149"/>
      <c r="IQ109" s="149"/>
      <c r="IR109" s="149"/>
      <c r="IS109" s="149"/>
      <c r="IT109" s="149"/>
      <c r="IU109" s="149"/>
      <c r="IV109" s="149"/>
    </row>
    <row r="110" spans="1:256" s="495" customFormat="1" ht="16.5" customHeight="1" x14ac:dyDescent="0.2">
      <c r="A110" s="75" t="str">
        <f t="shared" si="11"/>
        <v>Impairment loss on PP&amp;E</v>
      </c>
      <c r="B110" s="75">
        <f t="shared" si="11"/>
        <v>0</v>
      </c>
      <c r="C110" s="75">
        <f t="shared" si="11"/>
        <v>0</v>
      </c>
      <c r="D110" s="75">
        <f t="shared" si="11"/>
        <v>0</v>
      </c>
      <c r="E110" s="75">
        <f t="shared" si="11"/>
        <v>0</v>
      </c>
      <c r="F110" s="75">
        <f t="shared" si="11"/>
        <v>0</v>
      </c>
      <c r="G110" s="75">
        <f t="shared" si="11"/>
        <v>0</v>
      </c>
      <c r="H110" s="725" t="s">
        <v>1035</v>
      </c>
      <c r="I110" s="725"/>
      <c r="J110" s="725"/>
      <c r="K110" s="725"/>
      <c r="L110" s="725"/>
      <c r="M110" s="725"/>
      <c r="N110" s="725"/>
      <c r="O110" s="725"/>
      <c r="P110" s="725"/>
      <c r="Q110" s="725"/>
      <c r="R110" s="725"/>
      <c r="S110" s="725"/>
      <c r="T110" s="725"/>
      <c r="U110" s="725"/>
      <c r="V110" s="725"/>
      <c r="W110" s="725"/>
      <c r="X110" s="725"/>
      <c r="Y110" s="725"/>
      <c r="Z110" s="725"/>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49"/>
      <c r="DA110" s="149"/>
      <c r="DB110" s="149"/>
      <c r="DC110" s="149"/>
      <c r="DD110" s="149"/>
      <c r="DE110" s="149"/>
      <c r="DF110" s="149"/>
      <c r="DG110" s="149"/>
      <c r="DH110" s="149"/>
      <c r="DI110" s="149"/>
      <c r="DJ110" s="149"/>
      <c r="DK110" s="149"/>
      <c r="DL110" s="149"/>
      <c r="DM110" s="149"/>
      <c r="DN110" s="149"/>
      <c r="DO110" s="149"/>
      <c r="DP110" s="149"/>
      <c r="DQ110" s="149"/>
      <c r="DR110" s="149"/>
      <c r="DS110" s="149"/>
      <c r="DT110" s="149"/>
      <c r="DU110" s="149"/>
      <c r="DV110" s="149"/>
      <c r="DW110" s="149"/>
      <c r="DX110" s="149"/>
      <c r="DY110" s="149"/>
      <c r="DZ110" s="149"/>
      <c r="EA110" s="149"/>
      <c r="EB110" s="149"/>
      <c r="EC110" s="149"/>
      <c r="ED110" s="149"/>
      <c r="EE110" s="149"/>
      <c r="EF110" s="149"/>
      <c r="EG110" s="149"/>
      <c r="EH110" s="149"/>
      <c r="EI110" s="149"/>
      <c r="EJ110" s="149"/>
      <c r="EK110" s="149"/>
      <c r="EL110" s="149"/>
      <c r="EM110" s="149"/>
      <c r="EN110" s="149"/>
      <c r="EO110" s="149"/>
      <c r="EP110" s="149"/>
      <c r="EQ110" s="149"/>
      <c r="ER110" s="149"/>
      <c r="ES110" s="149"/>
      <c r="ET110" s="149"/>
      <c r="EU110" s="149"/>
      <c r="EV110" s="149"/>
      <c r="EW110" s="149"/>
      <c r="EX110" s="149"/>
      <c r="EY110" s="149"/>
      <c r="EZ110" s="149"/>
      <c r="FA110" s="149"/>
      <c r="FB110" s="149"/>
      <c r="FC110" s="149"/>
      <c r="FD110" s="149"/>
      <c r="FE110" s="149"/>
      <c r="FF110" s="149"/>
      <c r="FG110" s="149"/>
      <c r="FH110" s="149"/>
      <c r="FI110" s="149"/>
      <c r="FJ110" s="149"/>
      <c r="FK110" s="149"/>
      <c r="FL110" s="149"/>
      <c r="FM110" s="149"/>
      <c r="FN110" s="149"/>
      <c r="FO110" s="149"/>
      <c r="FP110" s="149"/>
      <c r="FQ110" s="149"/>
      <c r="FR110" s="149"/>
      <c r="FS110" s="149"/>
      <c r="FT110" s="149"/>
      <c r="FU110" s="149"/>
      <c r="FV110" s="149"/>
      <c r="FW110" s="149"/>
      <c r="FX110" s="149"/>
      <c r="FY110" s="149"/>
      <c r="FZ110" s="149"/>
      <c r="GA110" s="149"/>
      <c r="GB110" s="149"/>
      <c r="GC110" s="149"/>
      <c r="GD110" s="149"/>
      <c r="GE110" s="149"/>
      <c r="GF110" s="149"/>
      <c r="GG110" s="149"/>
      <c r="GH110" s="149"/>
      <c r="GI110" s="149"/>
      <c r="GJ110" s="149"/>
      <c r="GK110" s="149"/>
      <c r="GL110" s="149"/>
      <c r="GM110" s="149"/>
      <c r="GN110" s="149"/>
      <c r="GO110" s="149"/>
      <c r="GP110" s="149"/>
      <c r="GQ110" s="149"/>
      <c r="GR110" s="149"/>
      <c r="GS110" s="149"/>
      <c r="GT110" s="149"/>
      <c r="GU110" s="149"/>
      <c r="GV110" s="149"/>
      <c r="GW110" s="149"/>
      <c r="GX110" s="149"/>
      <c r="GY110" s="149"/>
      <c r="GZ110" s="149"/>
      <c r="HA110" s="149"/>
      <c r="HB110" s="149"/>
      <c r="HC110" s="149"/>
      <c r="HD110" s="149"/>
      <c r="HE110" s="149"/>
      <c r="HF110" s="149"/>
      <c r="HG110" s="149"/>
      <c r="HH110" s="149"/>
      <c r="HI110" s="149"/>
      <c r="HJ110" s="149"/>
      <c r="HK110" s="149"/>
      <c r="HL110" s="149"/>
      <c r="HM110" s="149"/>
      <c r="HN110" s="149"/>
      <c r="HO110" s="149"/>
      <c r="HP110" s="149"/>
      <c r="HQ110" s="149"/>
      <c r="HR110" s="149"/>
      <c r="HS110" s="149"/>
      <c r="HT110" s="149"/>
      <c r="HU110" s="149"/>
      <c r="HV110" s="149"/>
      <c r="HW110" s="149"/>
      <c r="HX110" s="149"/>
      <c r="HY110" s="149"/>
      <c r="HZ110" s="149"/>
      <c r="IA110" s="149"/>
      <c r="IB110" s="149"/>
      <c r="IC110" s="149"/>
      <c r="ID110" s="149"/>
      <c r="IE110" s="149"/>
      <c r="IF110" s="149"/>
      <c r="IG110" s="149"/>
      <c r="IH110" s="149"/>
      <c r="II110" s="149"/>
      <c r="IJ110" s="149"/>
      <c r="IK110" s="149"/>
      <c r="IL110" s="149"/>
      <c r="IM110" s="149"/>
      <c r="IN110" s="149"/>
      <c r="IO110" s="149"/>
      <c r="IP110" s="149"/>
      <c r="IQ110" s="149"/>
      <c r="IR110" s="149"/>
      <c r="IS110" s="149"/>
      <c r="IT110" s="149"/>
      <c r="IU110" s="149"/>
      <c r="IV110" s="149"/>
    </row>
    <row r="111" spans="1:256" s="495" customFormat="1" ht="16.5" customHeight="1" x14ac:dyDescent="0.2">
      <c r="A111" s="75" t="str">
        <f t="shared" si="11"/>
        <v>Impairment loss on goodwill</v>
      </c>
      <c r="B111" s="75">
        <f t="shared" si="11"/>
        <v>0</v>
      </c>
      <c r="C111" s="75">
        <f t="shared" si="11"/>
        <v>0</v>
      </c>
      <c r="D111" s="75">
        <f t="shared" si="11"/>
        <v>0</v>
      </c>
      <c r="E111" s="75">
        <f t="shared" si="11"/>
        <v>0</v>
      </c>
      <c r="F111" s="75">
        <f t="shared" si="11"/>
        <v>0</v>
      </c>
      <c r="G111" s="75">
        <f t="shared" si="11"/>
        <v>0</v>
      </c>
      <c r="H111" s="725" t="s">
        <v>1035</v>
      </c>
      <c r="I111" s="725"/>
      <c r="J111" s="725"/>
      <c r="K111" s="725"/>
      <c r="L111" s="725"/>
      <c r="M111" s="725"/>
      <c r="N111" s="725"/>
      <c r="O111" s="725"/>
      <c r="P111" s="725"/>
      <c r="Q111" s="725"/>
      <c r="R111" s="725"/>
      <c r="S111" s="725"/>
      <c r="T111" s="725"/>
      <c r="U111" s="725"/>
      <c r="V111" s="725"/>
      <c r="W111" s="725"/>
      <c r="X111" s="725"/>
      <c r="Y111" s="725"/>
      <c r="Z111" s="725"/>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49"/>
      <c r="DA111" s="149"/>
      <c r="DB111" s="149"/>
      <c r="DC111" s="149"/>
      <c r="DD111" s="149"/>
      <c r="DE111" s="149"/>
      <c r="DF111" s="149"/>
      <c r="DG111" s="149"/>
      <c r="DH111" s="149"/>
      <c r="DI111" s="149"/>
      <c r="DJ111" s="149"/>
      <c r="DK111" s="149"/>
      <c r="DL111" s="149"/>
      <c r="DM111" s="149"/>
      <c r="DN111" s="149"/>
      <c r="DO111" s="149"/>
      <c r="DP111" s="149"/>
      <c r="DQ111" s="149"/>
      <c r="DR111" s="149"/>
      <c r="DS111" s="149"/>
      <c r="DT111" s="149"/>
      <c r="DU111" s="149"/>
      <c r="DV111" s="149"/>
      <c r="DW111" s="149"/>
      <c r="DX111" s="149"/>
      <c r="DY111" s="149"/>
      <c r="DZ111" s="149"/>
      <c r="EA111" s="149"/>
      <c r="EB111" s="149"/>
      <c r="EC111" s="149"/>
      <c r="ED111" s="149"/>
      <c r="EE111" s="149"/>
      <c r="EF111" s="149"/>
      <c r="EG111" s="149"/>
      <c r="EH111" s="149"/>
      <c r="EI111" s="149"/>
      <c r="EJ111" s="149"/>
      <c r="EK111" s="149"/>
      <c r="EL111" s="149"/>
      <c r="EM111" s="149"/>
      <c r="EN111" s="149"/>
      <c r="EO111" s="149"/>
      <c r="EP111" s="149"/>
      <c r="EQ111" s="149"/>
      <c r="ER111" s="149"/>
      <c r="ES111" s="149"/>
      <c r="ET111" s="149"/>
      <c r="EU111" s="149"/>
      <c r="EV111" s="149"/>
      <c r="EW111" s="149"/>
      <c r="EX111" s="149"/>
      <c r="EY111" s="149"/>
      <c r="EZ111" s="149"/>
      <c r="FA111" s="149"/>
      <c r="FB111" s="149"/>
      <c r="FC111" s="149"/>
      <c r="FD111" s="149"/>
      <c r="FE111" s="149"/>
      <c r="FF111" s="149"/>
      <c r="FG111" s="149"/>
      <c r="FH111" s="149"/>
      <c r="FI111" s="149"/>
      <c r="FJ111" s="149"/>
      <c r="FK111" s="149"/>
      <c r="FL111" s="149"/>
      <c r="FM111" s="149"/>
      <c r="FN111" s="149"/>
      <c r="FO111" s="149"/>
      <c r="FP111" s="149"/>
      <c r="FQ111" s="149"/>
      <c r="FR111" s="149"/>
      <c r="FS111" s="149"/>
      <c r="FT111" s="149"/>
      <c r="FU111" s="149"/>
      <c r="FV111" s="149"/>
      <c r="FW111" s="149"/>
      <c r="FX111" s="149"/>
      <c r="FY111" s="149"/>
      <c r="FZ111" s="149"/>
      <c r="GA111" s="149"/>
      <c r="GB111" s="149"/>
      <c r="GC111" s="149"/>
      <c r="GD111" s="149"/>
      <c r="GE111" s="149"/>
      <c r="GF111" s="149"/>
      <c r="GG111" s="149"/>
      <c r="GH111" s="149"/>
      <c r="GI111" s="149"/>
      <c r="GJ111" s="149"/>
      <c r="GK111" s="149"/>
      <c r="GL111" s="149"/>
      <c r="GM111" s="149"/>
      <c r="GN111" s="149"/>
      <c r="GO111" s="149"/>
      <c r="GP111" s="149"/>
      <c r="GQ111" s="149"/>
      <c r="GR111" s="149"/>
      <c r="GS111" s="149"/>
      <c r="GT111" s="149"/>
      <c r="GU111" s="149"/>
      <c r="GV111" s="149"/>
      <c r="GW111" s="149"/>
      <c r="GX111" s="149"/>
      <c r="GY111" s="149"/>
      <c r="GZ111" s="149"/>
      <c r="HA111" s="149"/>
      <c r="HB111" s="149"/>
      <c r="HC111" s="149"/>
      <c r="HD111" s="149"/>
      <c r="HE111" s="149"/>
      <c r="HF111" s="149"/>
      <c r="HG111" s="149"/>
      <c r="HH111" s="149"/>
      <c r="HI111" s="149"/>
      <c r="HJ111" s="149"/>
      <c r="HK111" s="149"/>
      <c r="HL111" s="149"/>
      <c r="HM111" s="149"/>
      <c r="HN111" s="149"/>
      <c r="HO111" s="149"/>
      <c r="HP111" s="149"/>
      <c r="HQ111" s="149"/>
      <c r="HR111" s="149"/>
      <c r="HS111" s="149"/>
      <c r="HT111" s="149"/>
      <c r="HU111" s="149"/>
      <c r="HV111" s="149"/>
      <c r="HW111" s="149"/>
      <c r="HX111" s="149"/>
      <c r="HY111" s="149"/>
      <c r="HZ111" s="149"/>
      <c r="IA111" s="149"/>
      <c r="IB111" s="149"/>
      <c r="IC111" s="149"/>
      <c r="ID111" s="149"/>
      <c r="IE111" s="149"/>
      <c r="IF111" s="149"/>
      <c r="IG111" s="149"/>
      <c r="IH111" s="149"/>
      <c r="II111" s="149"/>
      <c r="IJ111" s="149"/>
      <c r="IK111" s="149"/>
      <c r="IL111" s="149"/>
      <c r="IM111" s="149"/>
      <c r="IN111" s="149"/>
      <c r="IO111" s="149"/>
      <c r="IP111" s="149"/>
      <c r="IQ111" s="149"/>
      <c r="IR111" s="149"/>
      <c r="IS111" s="149"/>
      <c r="IT111" s="149"/>
      <c r="IU111" s="149"/>
      <c r="IV111" s="149"/>
    </row>
    <row r="112" spans="1:256" s="495" customFormat="1" ht="16.5" customHeight="1" x14ac:dyDescent="0.2">
      <c r="A112" s="75" t="str">
        <f t="shared" si="11"/>
        <v>Impairment of other intangibles</v>
      </c>
      <c r="B112" s="75">
        <f t="shared" si="11"/>
        <v>0</v>
      </c>
      <c r="C112" s="75">
        <f t="shared" si="11"/>
        <v>0</v>
      </c>
      <c r="D112" s="75">
        <f t="shared" si="11"/>
        <v>0</v>
      </c>
      <c r="E112" s="75">
        <f t="shared" si="11"/>
        <v>0</v>
      </c>
      <c r="F112" s="75">
        <f t="shared" si="11"/>
        <v>0</v>
      </c>
      <c r="G112" s="75">
        <f t="shared" si="11"/>
        <v>0</v>
      </c>
      <c r="H112" s="725" t="s">
        <v>1035</v>
      </c>
      <c r="I112" s="725"/>
      <c r="J112" s="725"/>
      <c r="K112" s="725"/>
      <c r="L112" s="725"/>
      <c r="M112" s="725"/>
      <c r="N112" s="725"/>
      <c r="O112" s="725"/>
      <c r="P112" s="725"/>
      <c r="Q112" s="725"/>
      <c r="R112" s="725"/>
      <c r="S112" s="725"/>
      <c r="T112" s="725"/>
      <c r="U112" s="725"/>
      <c r="V112" s="725"/>
      <c r="W112" s="725"/>
      <c r="X112" s="725"/>
      <c r="Y112" s="725"/>
      <c r="Z112" s="725"/>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49"/>
      <c r="DA112" s="149"/>
      <c r="DB112" s="149"/>
      <c r="DC112" s="149"/>
      <c r="DD112" s="149"/>
      <c r="DE112" s="149"/>
      <c r="DF112" s="149"/>
      <c r="DG112" s="149"/>
      <c r="DH112" s="149"/>
      <c r="DI112" s="149"/>
      <c r="DJ112" s="149"/>
      <c r="DK112" s="149"/>
      <c r="DL112" s="149"/>
      <c r="DM112" s="149"/>
      <c r="DN112" s="149"/>
      <c r="DO112" s="149"/>
      <c r="DP112" s="149"/>
      <c r="DQ112" s="149"/>
      <c r="DR112" s="149"/>
      <c r="DS112" s="149"/>
      <c r="DT112" s="149"/>
      <c r="DU112" s="149"/>
      <c r="DV112" s="149"/>
      <c r="DW112" s="149"/>
      <c r="DX112" s="149"/>
      <c r="DY112" s="149"/>
      <c r="DZ112" s="149"/>
      <c r="EA112" s="149"/>
      <c r="EB112" s="149"/>
      <c r="EC112" s="149"/>
      <c r="ED112" s="149"/>
      <c r="EE112" s="149"/>
      <c r="EF112" s="149"/>
      <c r="EG112" s="149"/>
      <c r="EH112" s="149"/>
      <c r="EI112" s="149"/>
      <c r="EJ112" s="149"/>
      <c r="EK112" s="149"/>
      <c r="EL112" s="149"/>
      <c r="EM112" s="149"/>
      <c r="EN112" s="149"/>
      <c r="EO112" s="149"/>
      <c r="EP112" s="149"/>
      <c r="EQ112" s="149"/>
      <c r="ER112" s="149"/>
      <c r="ES112" s="149"/>
      <c r="ET112" s="149"/>
      <c r="EU112" s="149"/>
      <c r="EV112" s="149"/>
      <c r="EW112" s="149"/>
      <c r="EX112" s="149"/>
      <c r="EY112" s="149"/>
      <c r="EZ112" s="149"/>
      <c r="FA112" s="149"/>
      <c r="FB112" s="149"/>
      <c r="FC112" s="149"/>
      <c r="FD112" s="149"/>
      <c r="FE112" s="149"/>
      <c r="FF112" s="149"/>
      <c r="FG112" s="149"/>
      <c r="FH112" s="149"/>
      <c r="FI112" s="149"/>
      <c r="FJ112" s="149"/>
      <c r="FK112" s="149"/>
      <c r="FL112" s="149"/>
      <c r="FM112" s="149"/>
      <c r="FN112" s="149"/>
      <c r="FO112" s="149"/>
      <c r="FP112" s="149"/>
      <c r="FQ112" s="149"/>
      <c r="FR112" s="149"/>
      <c r="FS112" s="149"/>
      <c r="FT112" s="149"/>
      <c r="FU112" s="149"/>
      <c r="FV112" s="149"/>
      <c r="FW112" s="149"/>
      <c r="FX112" s="149"/>
      <c r="FY112" s="149"/>
      <c r="FZ112" s="149"/>
      <c r="GA112" s="149"/>
      <c r="GB112" s="149"/>
      <c r="GC112" s="149"/>
      <c r="GD112" s="149"/>
      <c r="GE112" s="149"/>
      <c r="GF112" s="149"/>
      <c r="GG112" s="149"/>
      <c r="GH112" s="149"/>
      <c r="GI112" s="149"/>
      <c r="GJ112" s="149"/>
      <c r="GK112" s="149"/>
      <c r="GL112" s="149"/>
      <c r="GM112" s="149"/>
      <c r="GN112" s="149"/>
      <c r="GO112" s="149"/>
      <c r="GP112" s="149"/>
      <c r="GQ112" s="149"/>
      <c r="GR112" s="149"/>
      <c r="GS112" s="149"/>
      <c r="GT112" s="149"/>
      <c r="GU112" s="149"/>
      <c r="GV112" s="149"/>
      <c r="GW112" s="149"/>
      <c r="GX112" s="149"/>
      <c r="GY112" s="149"/>
      <c r="GZ112" s="149"/>
      <c r="HA112" s="149"/>
      <c r="HB112" s="149"/>
      <c r="HC112" s="149"/>
      <c r="HD112" s="149"/>
      <c r="HE112" s="149"/>
      <c r="HF112" s="149"/>
      <c r="HG112" s="149"/>
      <c r="HH112" s="149"/>
      <c r="HI112" s="149"/>
      <c r="HJ112" s="149"/>
      <c r="HK112" s="149"/>
      <c r="HL112" s="149"/>
      <c r="HM112" s="149"/>
      <c r="HN112" s="149"/>
      <c r="HO112" s="149"/>
      <c r="HP112" s="149"/>
      <c r="HQ112" s="149"/>
      <c r="HR112" s="149"/>
      <c r="HS112" s="149"/>
      <c r="HT112" s="149"/>
      <c r="HU112" s="149"/>
      <c r="HV112" s="149"/>
      <c r="HW112" s="149"/>
      <c r="HX112" s="149"/>
      <c r="HY112" s="149"/>
      <c r="HZ112" s="149"/>
      <c r="IA112" s="149"/>
      <c r="IB112" s="149"/>
      <c r="IC112" s="149"/>
      <c r="ID112" s="149"/>
      <c r="IE112" s="149"/>
      <c r="IF112" s="149"/>
      <c r="IG112" s="149"/>
      <c r="IH112" s="149"/>
      <c r="II112" s="149"/>
      <c r="IJ112" s="149"/>
      <c r="IK112" s="149"/>
      <c r="IL112" s="149"/>
      <c r="IM112" s="149"/>
      <c r="IN112" s="149"/>
      <c r="IO112" s="149"/>
      <c r="IP112" s="149"/>
      <c r="IQ112" s="149"/>
      <c r="IR112" s="149"/>
      <c r="IS112" s="149"/>
      <c r="IT112" s="149"/>
      <c r="IU112" s="149"/>
      <c r="IV112" s="149"/>
    </row>
    <row r="113" spans="1:256" s="475" customFormat="1" ht="16.5" customHeight="1" x14ac:dyDescent="0.2">
      <c r="A113" s="71" t="str">
        <f t="shared" si="11"/>
        <v>Restructuring charge</v>
      </c>
      <c r="B113" s="71">
        <f t="shared" si="11"/>
        <v>0</v>
      </c>
      <c r="C113" s="71">
        <f t="shared" si="11"/>
        <v>0</v>
      </c>
      <c r="D113" s="71">
        <f t="shared" si="11"/>
        <v>0</v>
      </c>
      <c r="E113" s="71">
        <f t="shared" si="11"/>
        <v>0</v>
      </c>
      <c r="F113" s="71">
        <f t="shared" si="11"/>
        <v>0</v>
      </c>
      <c r="G113" s="71">
        <f t="shared" si="11"/>
        <v>0</v>
      </c>
      <c r="H113" s="724" t="s">
        <v>1035</v>
      </c>
      <c r="I113" s="724"/>
      <c r="J113" s="724"/>
      <c r="K113" s="724"/>
      <c r="L113" s="724"/>
      <c r="M113" s="724"/>
      <c r="N113" s="724"/>
      <c r="O113" s="724"/>
      <c r="P113" s="724"/>
      <c r="Q113" s="724"/>
      <c r="R113" s="724"/>
      <c r="S113" s="724"/>
      <c r="T113" s="724"/>
      <c r="U113" s="724"/>
      <c r="V113" s="724"/>
      <c r="W113" s="724"/>
      <c r="X113" s="724"/>
      <c r="Y113" s="724"/>
      <c r="Z113" s="724"/>
      <c r="AA113" s="227"/>
      <c r="AB113" s="227"/>
      <c r="AC113" s="227"/>
      <c r="AD113" s="227"/>
      <c r="AE113" s="227"/>
      <c r="AF113" s="227"/>
      <c r="AG113" s="227"/>
      <c r="AH113" s="227"/>
      <c r="AI113" s="227"/>
      <c r="AJ113" s="227"/>
      <c r="AK113" s="227"/>
      <c r="AL113" s="227"/>
      <c r="AM113" s="227"/>
      <c r="AN113" s="227"/>
      <c r="AO113" s="227"/>
      <c r="AP113" s="227"/>
      <c r="AQ113" s="227"/>
      <c r="AR113" s="227"/>
      <c r="AS113" s="227"/>
      <c r="AT113" s="227"/>
      <c r="AU113" s="227"/>
      <c r="AV113" s="227"/>
      <c r="AW113" s="227"/>
      <c r="AX113" s="227"/>
      <c r="AY113" s="227"/>
      <c r="AZ113" s="227"/>
      <c r="BA113" s="227"/>
      <c r="BB113" s="227"/>
      <c r="BC113" s="227"/>
      <c r="BD113" s="227"/>
      <c r="BE113" s="227"/>
      <c r="BF113" s="227"/>
      <c r="BG113" s="227"/>
      <c r="BH113" s="227"/>
      <c r="BI113" s="227"/>
      <c r="BJ113" s="227"/>
      <c r="BK113" s="227"/>
      <c r="BL113" s="227"/>
      <c r="BM113" s="227"/>
      <c r="BN113" s="227"/>
      <c r="BO113" s="227"/>
      <c r="BP113" s="227"/>
      <c r="BQ113" s="227"/>
      <c r="BR113" s="227"/>
      <c r="BS113" s="227"/>
      <c r="BT113" s="227"/>
      <c r="BU113" s="227"/>
      <c r="BV113" s="227"/>
      <c r="BW113" s="227"/>
      <c r="BX113" s="227"/>
      <c r="BY113" s="227"/>
      <c r="BZ113" s="227"/>
      <c r="CA113" s="227"/>
      <c r="CB113" s="227"/>
      <c r="CC113" s="227"/>
      <c r="CD113" s="227"/>
      <c r="CE113" s="227"/>
      <c r="CF113" s="227"/>
      <c r="CG113" s="227"/>
      <c r="CH113" s="227"/>
      <c r="CI113" s="227"/>
      <c r="CJ113" s="227"/>
      <c r="CK113" s="227"/>
      <c r="CL113" s="227"/>
      <c r="CM113" s="227"/>
      <c r="CN113" s="227"/>
      <c r="CO113" s="227"/>
      <c r="CP113" s="227"/>
      <c r="CQ113" s="227"/>
      <c r="CR113" s="227"/>
      <c r="CS113" s="227"/>
      <c r="CT113" s="227"/>
      <c r="CU113" s="227"/>
      <c r="CV113" s="227"/>
      <c r="CW113" s="227"/>
      <c r="CX113" s="227"/>
      <c r="CY113" s="227"/>
      <c r="CZ113" s="227"/>
      <c r="DA113" s="227"/>
      <c r="DB113" s="227"/>
      <c r="DC113" s="227"/>
      <c r="DD113" s="227"/>
      <c r="DE113" s="227"/>
      <c r="DF113" s="227"/>
      <c r="DG113" s="227"/>
      <c r="DH113" s="227"/>
      <c r="DI113" s="227"/>
      <c r="DJ113" s="227"/>
      <c r="DK113" s="227"/>
      <c r="DL113" s="227"/>
      <c r="DM113" s="227"/>
      <c r="DN113" s="227"/>
      <c r="DO113" s="227"/>
      <c r="DP113" s="227"/>
      <c r="DQ113" s="227"/>
      <c r="DR113" s="227"/>
      <c r="DS113" s="227"/>
      <c r="DT113" s="227"/>
      <c r="DU113" s="227"/>
      <c r="DV113" s="227"/>
      <c r="DW113" s="227"/>
      <c r="DX113" s="227"/>
      <c r="DY113" s="227"/>
      <c r="DZ113" s="227"/>
      <c r="EA113" s="227"/>
      <c r="EB113" s="227"/>
      <c r="EC113" s="227"/>
      <c r="ED113" s="227"/>
      <c r="EE113" s="227"/>
      <c r="EF113" s="227"/>
      <c r="EG113" s="227"/>
      <c r="EH113" s="227"/>
      <c r="EI113" s="227"/>
      <c r="EJ113" s="227"/>
      <c r="EK113" s="227"/>
      <c r="EL113" s="227"/>
      <c r="EM113" s="227"/>
      <c r="EN113" s="227"/>
      <c r="EO113" s="227"/>
      <c r="EP113" s="227"/>
      <c r="EQ113" s="227"/>
      <c r="ER113" s="227"/>
      <c r="ES113" s="227"/>
      <c r="ET113" s="227"/>
      <c r="EU113" s="227"/>
      <c r="EV113" s="227"/>
      <c r="EW113" s="227"/>
      <c r="EX113" s="227"/>
      <c r="EY113" s="227"/>
      <c r="EZ113" s="227"/>
      <c r="FA113" s="227"/>
      <c r="FB113" s="227"/>
      <c r="FC113" s="227"/>
      <c r="FD113" s="227"/>
      <c r="FE113" s="227"/>
      <c r="FF113" s="227"/>
      <c r="FG113" s="227"/>
      <c r="FH113" s="227"/>
      <c r="FI113" s="227"/>
      <c r="FJ113" s="227"/>
      <c r="FK113" s="227"/>
      <c r="FL113" s="227"/>
      <c r="FM113" s="227"/>
      <c r="FN113" s="227"/>
      <c r="FO113" s="227"/>
      <c r="FP113" s="227"/>
      <c r="FQ113" s="227"/>
      <c r="FR113" s="227"/>
      <c r="FS113" s="227"/>
      <c r="FT113" s="227"/>
      <c r="FU113" s="227"/>
      <c r="FV113" s="227"/>
      <c r="FW113" s="227"/>
      <c r="FX113" s="227"/>
      <c r="FY113" s="227"/>
      <c r="FZ113" s="227"/>
      <c r="GA113" s="227"/>
      <c r="GB113" s="227"/>
      <c r="GC113" s="227"/>
      <c r="GD113" s="227"/>
      <c r="GE113" s="227"/>
      <c r="GF113" s="227"/>
      <c r="GG113" s="227"/>
      <c r="GH113" s="227"/>
      <c r="GI113" s="227"/>
      <c r="GJ113" s="227"/>
      <c r="GK113" s="227"/>
      <c r="GL113" s="227"/>
      <c r="GM113" s="227"/>
      <c r="GN113" s="227"/>
      <c r="GO113" s="227"/>
      <c r="GP113" s="227"/>
      <c r="GQ113" s="227"/>
      <c r="GR113" s="227"/>
      <c r="GS113" s="227"/>
      <c r="GT113" s="227"/>
      <c r="GU113" s="227"/>
      <c r="GV113" s="227"/>
      <c r="GW113" s="227"/>
      <c r="GX113" s="227"/>
      <c r="GY113" s="227"/>
      <c r="GZ113" s="227"/>
      <c r="HA113" s="227"/>
      <c r="HB113" s="227"/>
      <c r="HC113" s="227"/>
      <c r="HD113" s="227"/>
      <c r="HE113" s="227"/>
      <c r="HF113" s="227"/>
      <c r="HG113" s="227"/>
      <c r="HH113" s="227"/>
      <c r="HI113" s="227"/>
      <c r="HJ113" s="227"/>
      <c r="HK113" s="227"/>
      <c r="HL113" s="227"/>
      <c r="HM113" s="227"/>
      <c r="HN113" s="227"/>
      <c r="HO113" s="227"/>
      <c r="HP113" s="227"/>
      <c r="HQ113" s="227"/>
      <c r="HR113" s="227"/>
      <c r="HS113" s="227"/>
      <c r="HT113" s="227"/>
      <c r="HU113" s="227"/>
      <c r="HV113" s="227"/>
      <c r="HW113" s="227"/>
      <c r="HX113" s="227"/>
      <c r="HY113" s="227"/>
      <c r="HZ113" s="227"/>
      <c r="IA113" s="227"/>
      <c r="IB113" s="227"/>
      <c r="IC113" s="227"/>
      <c r="ID113" s="227"/>
      <c r="IE113" s="227"/>
      <c r="IF113" s="227"/>
      <c r="IG113" s="227"/>
      <c r="IH113" s="227"/>
      <c r="II113" s="227"/>
      <c r="IJ113" s="227"/>
      <c r="IK113" s="227"/>
      <c r="IL113" s="227"/>
      <c r="IM113" s="227"/>
      <c r="IN113" s="227"/>
      <c r="IO113" s="227"/>
      <c r="IP113" s="227"/>
      <c r="IQ113" s="227"/>
      <c r="IR113" s="227"/>
      <c r="IS113" s="227"/>
      <c r="IT113" s="227"/>
      <c r="IU113" s="227"/>
      <c r="IV113" s="227"/>
    </row>
    <row r="114" spans="1:256" s="45" customFormat="1" ht="16.5" customHeight="1" x14ac:dyDescent="0.2">
      <c r="A114" s="41" t="s">
        <v>546</v>
      </c>
      <c r="B114" s="413">
        <f t="shared" ref="B114:G114" si="12">SUM(B107:B113)</f>
        <v>1118</v>
      </c>
      <c r="C114" s="413">
        <f t="shared" si="12"/>
        <v>1277</v>
      </c>
      <c r="D114" s="413">
        <f t="shared" si="12"/>
        <v>1314</v>
      </c>
      <c r="E114" s="413">
        <f t="shared" si="12"/>
        <v>1343</v>
      </c>
      <c r="F114" s="413">
        <f t="shared" si="12"/>
        <v>1282</v>
      </c>
      <c r="G114" s="413">
        <f t="shared" si="12"/>
        <v>990</v>
      </c>
      <c r="H114" s="677"/>
      <c r="I114" s="677"/>
      <c r="J114" s="677"/>
      <c r="K114" s="677"/>
      <c r="L114" s="677"/>
      <c r="M114" s="677"/>
      <c r="N114" s="677"/>
      <c r="O114" s="677"/>
      <c r="P114" s="677"/>
      <c r="Q114" s="677"/>
      <c r="R114" s="677"/>
      <c r="S114" s="677"/>
      <c r="T114" s="677"/>
      <c r="U114" s="677"/>
      <c r="V114" s="677"/>
      <c r="W114" s="677"/>
      <c r="X114" s="677"/>
      <c r="Y114" s="677"/>
      <c r="Z114" s="677"/>
      <c r="AA114" s="193"/>
      <c r="AB114" s="193"/>
      <c r="AC114" s="193"/>
      <c r="AD114" s="193"/>
      <c r="AE114" s="193"/>
      <c r="AF114" s="193"/>
      <c r="AG114" s="193"/>
      <c r="AH114" s="193"/>
      <c r="AI114" s="193"/>
      <c r="AJ114" s="193"/>
      <c r="AK114" s="193"/>
      <c r="AL114" s="193"/>
      <c r="AM114" s="193"/>
      <c r="AN114" s="193"/>
      <c r="AO114" s="193"/>
      <c r="AP114" s="193"/>
      <c r="AQ114" s="193"/>
      <c r="AR114" s="193"/>
      <c r="AS114" s="193"/>
      <c r="AT114" s="193"/>
      <c r="AU114" s="193"/>
      <c r="AV114" s="193"/>
      <c r="AW114" s="193"/>
      <c r="AX114" s="193"/>
      <c r="AY114" s="193"/>
      <c r="AZ114" s="193"/>
      <c r="BA114" s="193"/>
      <c r="BB114" s="193"/>
      <c r="BC114" s="193"/>
      <c r="BD114" s="193"/>
      <c r="BE114" s="193"/>
      <c r="BF114" s="193"/>
      <c r="BG114" s="193"/>
      <c r="BH114" s="193"/>
      <c r="BI114" s="193"/>
      <c r="BJ114" s="193"/>
      <c r="BK114" s="193"/>
      <c r="BL114" s="193"/>
      <c r="BM114" s="193"/>
      <c r="BN114" s="193"/>
      <c r="BO114" s="193"/>
      <c r="BP114" s="193"/>
      <c r="BQ114" s="193"/>
      <c r="BR114" s="193"/>
      <c r="BS114" s="193"/>
      <c r="BT114" s="193"/>
      <c r="BU114" s="193"/>
      <c r="BV114" s="193"/>
      <c r="BW114" s="193"/>
      <c r="BX114" s="193"/>
      <c r="BY114" s="193"/>
      <c r="BZ114" s="193"/>
      <c r="CA114" s="193"/>
      <c r="CB114" s="193"/>
      <c r="CC114" s="193"/>
      <c r="CD114" s="193"/>
      <c r="CE114" s="193"/>
      <c r="CF114" s="193"/>
      <c r="CG114" s="193"/>
      <c r="CH114" s="193"/>
      <c r="CI114" s="193"/>
      <c r="CJ114" s="193"/>
      <c r="CK114" s="193"/>
      <c r="CL114" s="193"/>
      <c r="CM114" s="193"/>
      <c r="CN114" s="193"/>
      <c r="CO114" s="193"/>
      <c r="CP114" s="193"/>
      <c r="CQ114" s="193"/>
      <c r="CR114" s="193"/>
      <c r="CS114" s="193"/>
      <c r="CT114" s="193"/>
      <c r="CU114" s="193"/>
      <c r="CV114" s="193"/>
      <c r="CW114" s="193"/>
      <c r="CX114" s="193"/>
      <c r="CY114" s="193"/>
      <c r="CZ114" s="193"/>
      <c r="DA114" s="193"/>
      <c r="DB114" s="193"/>
      <c r="DC114" s="193"/>
      <c r="DD114" s="193"/>
      <c r="DE114" s="193"/>
      <c r="DF114" s="193"/>
      <c r="DG114" s="193"/>
      <c r="DH114" s="193"/>
      <c r="DI114" s="193"/>
      <c r="DJ114" s="193"/>
      <c r="DK114" s="193"/>
      <c r="DL114" s="193"/>
      <c r="DM114" s="193"/>
      <c r="DN114" s="193"/>
      <c r="DO114" s="193"/>
      <c r="DP114" s="193"/>
      <c r="DQ114" s="193"/>
      <c r="DR114" s="193"/>
      <c r="DS114" s="193"/>
      <c r="DT114" s="193"/>
      <c r="DU114" s="193"/>
      <c r="DV114" s="193"/>
      <c r="DW114" s="193"/>
      <c r="DX114" s="193"/>
      <c r="DY114" s="193"/>
      <c r="DZ114" s="193"/>
      <c r="EA114" s="193"/>
      <c r="EB114" s="193"/>
      <c r="EC114" s="193"/>
      <c r="ED114" s="193"/>
      <c r="EE114" s="193"/>
      <c r="EF114" s="193"/>
      <c r="EG114" s="193"/>
      <c r="EH114" s="193"/>
      <c r="EI114" s="193"/>
      <c r="EJ114" s="193"/>
      <c r="EK114" s="193"/>
      <c r="EL114" s="193"/>
      <c r="EM114" s="193"/>
      <c r="EN114" s="193"/>
      <c r="EO114" s="193"/>
      <c r="EP114" s="193"/>
      <c r="EQ114" s="193"/>
      <c r="ER114" s="193"/>
      <c r="ES114" s="193"/>
      <c r="ET114" s="193"/>
      <c r="EU114" s="193"/>
      <c r="EV114" s="193"/>
      <c r="EW114" s="193"/>
      <c r="EX114" s="193"/>
      <c r="EY114" s="193"/>
      <c r="EZ114" s="193"/>
      <c r="FA114" s="193"/>
      <c r="FB114" s="193"/>
      <c r="FC114" s="193"/>
      <c r="FD114" s="193"/>
      <c r="FE114" s="193"/>
      <c r="FF114" s="193"/>
      <c r="FG114" s="193"/>
      <c r="FH114" s="193"/>
      <c r="FI114" s="193"/>
      <c r="FJ114" s="193"/>
      <c r="FK114" s="193"/>
      <c r="FL114" s="193"/>
      <c r="FM114" s="193"/>
      <c r="FN114" s="193"/>
      <c r="FO114" s="193"/>
      <c r="FP114" s="193"/>
      <c r="FQ114" s="193"/>
      <c r="FR114" s="193"/>
      <c r="FS114" s="193"/>
      <c r="FT114" s="193"/>
      <c r="FU114" s="193"/>
      <c r="FV114" s="193"/>
      <c r="FW114" s="193"/>
      <c r="FX114" s="193"/>
      <c r="FY114" s="193"/>
      <c r="FZ114" s="193"/>
      <c r="GA114" s="193"/>
      <c r="GB114" s="193"/>
      <c r="GC114" s="193"/>
      <c r="GD114" s="193"/>
      <c r="GE114" s="193"/>
      <c r="GF114" s="193"/>
      <c r="GG114" s="193"/>
      <c r="GH114" s="193"/>
      <c r="GI114" s="193"/>
      <c r="GJ114" s="193"/>
      <c r="GK114" s="193"/>
      <c r="GL114" s="193"/>
      <c r="GM114" s="193"/>
      <c r="GN114" s="193"/>
      <c r="GO114" s="193"/>
      <c r="GP114" s="193"/>
      <c r="GQ114" s="193"/>
      <c r="GR114" s="193"/>
      <c r="GS114" s="193"/>
      <c r="GT114" s="193"/>
      <c r="GU114" s="193"/>
      <c r="GV114" s="193"/>
      <c r="GW114" s="193"/>
      <c r="GX114" s="193"/>
      <c r="GY114" s="193"/>
      <c r="GZ114" s="193"/>
      <c r="HA114" s="193"/>
      <c r="HB114" s="193"/>
      <c r="HC114" s="193"/>
      <c r="HD114" s="193"/>
      <c r="HE114" s="193"/>
      <c r="HF114" s="193"/>
      <c r="HG114" s="193"/>
      <c r="HH114" s="193"/>
      <c r="HI114" s="193"/>
      <c r="HJ114" s="193"/>
      <c r="HK114" s="193"/>
      <c r="HL114" s="193"/>
      <c r="HM114" s="193"/>
      <c r="HN114" s="193"/>
      <c r="HO114" s="193"/>
      <c r="HP114" s="193"/>
      <c r="HQ114" s="193"/>
      <c r="HR114" s="193"/>
      <c r="HS114" s="193"/>
      <c r="HT114" s="193"/>
      <c r="HU114" s="193"/>
      <c r="HV114" s="193"/>
      <c r="HW114" s="193"/>
      <c r="HX114" s="193"/>
      <c r="HY114" s="193"/>
      <c r="HZ114" s="193"/>
      <c r="IA114" s="193"/>
      <c r="IB114" s="193"/>
      <c r="IC114" s="193"/>
      <c r="ID114" s="193"/>
      <c r="IE114" s="193"/>
      <c r="IF114" s="193"/>
      <c r="IG114" s="193"/>
      <c r="IH114" s="193"/>
      <c r="II114" s="193"/>
      <c r="IJ114" s="193"/>
      <c r="IK114" s="193"/>
      <c r="IL114" s="193"/>
      <c r="IM114" s="193"/>
      <c r="IN114" s="193"/>
      <c r="IO114" s="193"/>
      <c r="IP114" s="193"/>
      <c r="IQ114" s="193"/>
      <c r="IR114" s="193"/>
      <c r="IS114" s="193"/>
      <c r="IT114" s="193"/>
      <c r="IU114" s="193"/>
      <c r="IV114" s="193"/>
    </row>
    <row r="115" spans="1:256" s="495" customFormat="1" ht="16.5" customHeight="1" x14ac:dyDescent="0.2">
      <c r="A115" s="376" t="s">
        <v>484</v>
      </c>
      <c r="B115" s="496">
        <f t="shared" ref="B115:G115" si="13">B98/B97</f>
        <v>0.38143289606458125</v>
      </c>
      <c r="C115" s="496">
        <f t="shared" si="13"/>
        <v>0.3892433910665451</v>
      </c>
      <c r="D115" s="496">
        <f t="shared" si="13"/>
        <v>0.37918552036199094</v>
      </c>
      <c r="E115" s="496">
        <f t="shared" si="13"/>
        <v>0.38280542986425337</v>
      </c>
      <c r="F115" s="496">
        <f t="shared" si="13"/>
        <v>0.39238095238095239</v>
      </c>
      <c r="G115" s="496">
        <f t="shared" si="13"/>
        <v>0.38533333333333336</v>
      </c>
      <c r="H115" s="725"/>
      <c r="I115" s="725"/>
      <c r="J115" s="725"/>
      <c r="K115" s="725"/>
      <c r="L115" s="725"/>
      <c r="M115" s="725"/>
      <c r="N115" s="725"/>
      <c r="O115" s="725"/>
      <c r="P115" s="725"/>
      <c r="Q115" s="725"/>
      <c r="R115" s="725"/>
      <c r="S115" s="725"/>
      <c r="T115" s="725"/>
      <c r="U115" s="725"/>
      <c r="V115" s="725"/>
      <c r="W115" s="725"/>
      <c r="X115" s="725"/>
      <c r="Y115" s="725"/>
      <c r="Z115" s="725"/>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49"/>
      <c r="DA115" s="149"/>
      <c r="DB115" s="149"/>
      <c r="DC115" s="149"/>
      <c r="DD115" s="149"/>
      <c r="DE115" s="149"/>
      <c r="DF115" s="149"/>
      <c r="DG115" s="149"/>
      <c r="DH115" s="149"/>
      <c r="DI115" s="149"/>
      <c r="DJ115" s="149"/>
      <c r="DK115" s="149"/>
      <c r="DL115" s="149"/>
      <c r="DM115" s="149"/>
      <c r="DN115" s="149"/>
      <c r="DO115" s="149"/>
      <c r="DP115" s="149"/>
      <c r="DQ115" s="149"/>
      <c r="DR115" s="149"/>
      <c r="DS115" s="149"/>
      <c r="DT115" s="149"/>
      <c r="DU115" s="149"/>
      <c r="DV115" s="149"/>
      <c r="DW115" s="149"/>
      <c r="DX115" s="149"/>
      <c r="DY115" s="149"/>
      <c r="DZ115" s="149"/>
      <c r="EA115" s="149"/>
      <c r="EB115" s="149"/>
      <c r="EC115" s="149"/>
      <c r="ED115" s="149"/>
      <c r="EE115" s="149"/>
      <c r="EF115" s="149"/>
      <c r="EG115" s="149"/>
      <c r="EH115" s="149"/>
      <c r="EI115" s="149"/>
      <c r="EJ115" s="149"/>
      <c r="EK115" s="149"/>
      <c r="EL115" s="149"/>
      <c r="EM115" s="149"/>
      <c r="EN115" s="149"/>
      <c r="EO115" s="149"/>
      <c r="EP115" s="149"/>
      <c r="EQ115" s="149"/>
      <c r="ER115" s="149"/>
      <c r="ES115" s="149"/>
      <c r="ET115" s="149"/>
      <c r="EU115" s="149"/>
      <c r="EV115" s="149"/>
      <c r="EW115" s="149"/>
      <c r="EX115" s="149"/>
      <c r="EY115" s="149"/>
      <c r="EZ115" s="149"/>
      <c r="FA115" s="149"/>
      <c r="FB115" s="149"/>
      <c r="FC115" s="149"/>
      <c r="FD115" s="149"/>
      <c r="FE115" s="149"/>
      <c r="FF115" s="149"/>
      <c r="FG115" s="149"/>
      <c r="FH115" s="149"/>
      <c r="FI115" s="149"/>
      <c r="FJ115" s="149"/>
      <c r="FK115" s="149"/>
      <c r="FL115" s="149"/>
      <c r="FM115" s="149"/>
      <c r="FN115" s="149"/>
      <c r="FO115" s="149"/>
      <c r="FP115" s="149"/>
      <c r="FQ115" s="149"/>
      <c r="FR115" s="149"/>
      <c r="FS115" s="149"/>
      <c r="FT115" s="149"/>
      <c r="FU115" s="149"/>
      <c r="FV115" s="149"/>
      <c r="FW115" s="149"/>
      <c r="FX115" s="149"/>
      <c r="FY115" s="149"/>
      <c r="FZ115" s="149"/>
      <c r="GA115" s="149"/>
      <c r="GB115" s="149"/>
      <c r="GC115" s="149"/>
      <c r="GD115" s="149"/>
      <c r="GE115" s="149"/>
      <c r="GF115" s="149"/>
      <c r="GG115" s="149"/>
      <c r="GH115" s="149"/>
      <c r="GI115" s="149"/>
      <c r="GJ115" s="149"/>
      <c r="GK115" s="149"/>
      <c r="GL115" s="149"/>
      <c r="GM115" s="149"/>
      <c r="GN115" s="149"/>
      <c r="GO115" s="149"/>
      <c r="GP115" s="149"/>
      <c r="GQ115" s="149"/>
      <c r="GR115" s="149"/>
      <c r="GS115" s="149"/>
      <c r="GT115" s="149"/>
      <c r="GU115" s="149"/>
      <c r="GV115" s="149"/>
      <c r="GW115" s="149"/>
      <c r="GX115" s="149"/>
      <c r="GY115" s="149"/>
      <c r="GZ115" s="149"/>
      <c r="HA115" s="149"/>
      <c r="HB115" s="149"/>
      <c r="HC115" s="149"/>
      <c r="HD115" s="149"/>
      <c r="HE115" s="149"/>
      <c r="HF115" s="149"/>
      <c r="HG115" s="149"/>
      <c r="HH115" s="149"/>
      <c r="HI115" s="149"/>
      <c r="HJ115" s="149"/>
      <c r="HK115" s="149"/>
      <c r="HL115" s="149"/>
      <c r="HM115" s="149"/>
      <c r="HN115" s="149"/>
      <c r="HO115" s="149"/>
      <c r="HP115" s="149"/>
      <c r="HQ115" s="149"/>
      <c r="HR115" s="149"/>
      <c r="HS115" s="149"/>
      <c r="HT115" s="149"/>
      <c r="HU115" s="149"/>
      <c r="HV115" s="149"/>
      <c r="HW115" s="149"/>
      <c r="HX115" s="149"/>
      <c r="HY115" s="149"/>
      <c r="HZ115" s="149"/>
      <c r="IA115" s="149"/>
      <c r="IB115" s="149"/>
      <c r="IC115" s="149"/>
      <c r="ID115" s="149"/>
      <c r="IE115" s="149"/>
      <c r="IF115" s="149"/>
      <c r="IG115" s="149"/>
      <c r="IH115" s="149"/>
      <c r="II115" s="149"/>
      <c r="IJ115" s="149"/>
      <c r="IK115" s="149"/>
      <c r="IL115" s="149"/>
      <c r="IM115" s="149"/>
      <c r="IN115" s="149"/>
      <c r="IO115" s="149"/>
      <c r="IP115" s="149"/>
      <c r="IQ115" s="149"/>
      <c r="IR115" s="149"/>
      <c r="IS115" s="149"/>
      <c r="IT115" s="149"/>
      <c r="IU115" s="149"/>
      <c r="IV115" s="149"/>
    </row>
    <row r="116" spans="1:256" s="475" customFormat="1" ht="16.5" customHeight="1" x14ac:dyDescent="0.2">
      <c r="A116" s="34" t="s">
        <v>300</v>
      </c>
      <c r="B116" s="474">
        <f t="shared" ref="B116:G116" si="14">-B100</f>
        <v>0</v>
      </c>
      <c r="C116" s="474">
        <f t="shared" si="14"/>
        <v>0</v>
      </c>
      <c r="D116" s="474">
        <f t="shared" si="14"/>
        <v>0</v>
      </c>
      <c r="E116" s="474">
        <f t="shared" si="14"/>
        <v>0</v>
      </c>
      <c r="F116" s="474">
        <f t="shared" si="14"/>
        <v>0</v>
      </c>
      <c r="G116" s="474">
        <f t="shared" si="14"/>
        <v>0</v>
      </c>
      <c r="H116" s="724"/>
      <c r="I116" s="724"/>
      <c r="J116" s="724"/>
      <c r="K116" s="724"/>
      <c r="L116" s="724"/>
      <c r="M116" s="724"/>
      <c r="N116" s="724"/>
      <c r="O116" s="724"/>
      <c r="P116" s="724"/>
      <c r="Q116" s="724"/>
      <c r="R116" s="724"/>
      <c r="S116" s="724"/>
      <c r="T116" s="724"/>
      <c r="U116" s="724"/>
      <c r="V116" s="724"/>
      <c r="W116" s="724"/>
      <c r="X116" s="724"/>
      <c r="Y116" s="724"/>
      <c r="Z116" s="724"/>
      <c r="AA116" s="227"/>
      <c r="AB116" s="227"/>
      <c r="AC116" s="227"/>
      <c r="AD116" s="227"/>
      <c r="AE116" s="227"/>
      <c r="AF116" s="227"/>
      <c r="AG116" s="227"/>
      <c r="AH116" s="227"/>
      <c r="AI116" s="227"/>
      <c r="AJ116" s="227"/>
      <c r="AK116" s="227"/>
      <c r="AL116" s="227"/>
      <c r="AM116" s="227"/>
      <c r="AN116" s="227"/>
      <c r="AO116" s="227"/>
      <c r="AP116" s="227"/>
      <c r="AQ116" s="227"/>
      <c r="AR116" s="227"/>
      <c r="AS116" s="227"/>
      <c r="AT116" s="227"/>
      <c r="AU116" s="227"/>
      <c r="AV116" s="227"/>
      <c r="AW116" s="227"/>
      <c r="AX116" s="227"/>
      <c r="AY116" s="227"/>
      <c r="AZ116" s="227"/>
      <c r="BA116" s="227"/>
      <c r="BB116" s="227"/>
      <c r="BC116" s="227"/>
      <c r="BD116" s="227"/>
      <c r="BE116" s="227"/>
      <c r="BF116" s="227"/>
      <c r="BG116" s="227"/>
      <c r="BH116" s="227"/>
      <c r="BI116" s="227"/>
      <c r="BJ116" s="227"/>
      <c r="BK116" s="227"/>
      <c r="BL116" s="227"/>
      <c r="BM116" s="227"/>
      <c r="BN116" s="227"/>
      <c r="BO116" s="227"/>
      <c r="BP116" s="227"/>
      <c r="BQ116" s="227"/>
      <c r="BR116" s="227"/>
      <c r="BS116" s="227"/>
      <c r="BT116" s="227"/>
      <c r="BU116" s="227"/>
      <c r="BV116" s="227"/>
      <c r="BW116" s="227"/>
      <c r="BX116" s="227"/>
      <c r="BY116" s="227"/>
      <c r="BZ116" s="227"/>
      <c r="CA116" s="227"/>
      <c r="CB116" s="227"/>
      <c r="CC116" s="227"/>
      <c r="CD116" s="227"/>
      <c r="CE116" s="227"/>
      <c r="CF116" s="227"/>
      <c r="CG116" s="227"/>
      <c r="CH116" s="227"/>
      <c r="CI116" s="227"/>
      <c r="CJ116" s="227"/>
      <c r="CK116" s="227"/>
      <c r="CL116" s="227"/>
      <c r="CM116" s="227"/>
      <c r="CN116" s="227"/>
      <c r="CO116" s="227"/>
      <c r="CP116" s="227"/>
      <c r="CQ116" s="227"/>
      <c r="CR116" s="227"/>
      <c r="CS116" s="227"/>
      <c r="CT116" s="227"/>
      <c r="CU116" s="227"/>
      <c r="CV116" s="227"/>
      <c r="CW116" s="227"/>
      <c r="CX116" s="227"/>
      <c r="CY116" s="227"/>
      <c r="CZ116" s="227"/>
      <c r="DA116" s="227"/>
      <c r="DB116" s="227"/>
      <c r="DC116" s="227"/>
      <c r="DD116" s="227"/>
      <c r="DE116" s="227"/>
      <c r="DF116" s="227"/>
      <c r="DG116" s="227"/>
      <c r="DH116" s="227"/>
      <c r="DI116" s="227"/>
      <c r="DJ116" s="227"/>
      <c r="DK116" s="227"/>
      <c r="DL116" s="227"/>
      <c r="DM116" s="227"/>
      <c r="DN116" s="227"/>
      <c r="DO116" s="227"/>
      <c r="DP116" s="227"/>
      <c r="DQ116" s="227"/>
      <c r="DR116" s="227"/>
      <c r="DS116" s="227"/>
      <c r="DT116" s="227"/>
      <c r="DU116" s="227"/>
      <c r="DV116" s="227"/>
      <c r="DW116" s="227"/>
      <c r="DX116" s="227"/>
      <c r="DY116" s="227"/>
      <c r="DZ116" s="227"/>
      <c r="EA116" s="227"/>
      <c r="EB116" s="227"/>
      <c r="EC116" s="227"/>
      <c r="ED116" s="227"/>
      <c r="EE116" s="227"/>
      <c r="EF116" s="227"/>
      <c r="EG116" s="227"/>
      <c r="EH116" s="227"/>
      <c r="EI116" s="227"/>
      <c r="EJ116" s="227"/>
      <c r="EK116" s="227"/>
      <c r="EL116" s="227"/>
      <c r="EM116" s="227"/>
      <c r="EN116" s="227"/>
      <c r="EO116" s="227"/>
      <c r="EP116" s="227"/>
      <c r="EQ116" s="227"/>
      <c r="ER116" s="227"/>
      <c r="ES116" s="227"/>
      <c r="ET116" s="227"/>
      <c r="EU116" s="227"/>
      <c r="EV116" s="227"/>
      <c r="EW116" s="227"/>
      <c r="EX116" s="227"/>
      <c r="EY116" s="227"/>
      <c r="EZ116" s="227"/>
      <c r="FA116" s="227"/>
      <c r="FB116" s="227"/>
      <c r="FC116" s="227"/>
      <c r="FD116" s="227"/>
      <c r="FE116" s="227"/>
      <c r="FF116" s="227"/>
      <c r="FG116" s="227"/>
      <c r="FH116" s="227"/>
      <c r="FI116" s="227"/>
      <c r="FJ116" s="227"/>
      <c r="FK116" s="227"/>
      <c r="FL116" s="227"/>
      <c r="FM116" s="227"/>
      <c r="FN116" s="227"/>
      <c r="FO116" s="227"/>
      <c r="FP116" s="227"/>
      <c r="FQ116" s="227"/>
      <c r="FR116" s="227"/>
      <c r="FS116" s="227"/>
      <c r="FT116" s="227"/>
      <c r="FU116" s="227"/>
      <c r="FV116" s="227"/>
      <c r="FW116" s="227"/>
      <c r="FX116" s="227"/>
      <c r="FY116" s="227"/>
      <c r="FZ116" s="227"/>
      <c r="GA116" s="227"/>
      <c r="GB116" s="227"/>
      <c r="GC116" s="227"/>
      <c r="GD116" s="227"/>
      <c r="GE116" s="227"/>
      <c r="GF116" s="227"/>
      <c r="GG116" s="227"/>
      <c r="GH116" s="227"/>
      <c r="GI116" s="227"/>
      <c r="GJ116" s="227"/>
      <c r="GK116" s="227"/>
      <c r="GL116" s="227"/>
      <c r="GM116" s="227"/>
      <c r="GN116" s="227"/>
      <c r="GO116" s="227"/>
      <c r="GP116" s="227"/>
      <c r="GQ116" s="227"/>
      <c r="GR116" s="227"/>
      <c r="GS116" s="227"/>
      <c r="GT116" s="227"/>
      <c r="GU116" s="227"/>
      <c r="GV116" s="227"/>
      <c r="GW116" s="227"/>
      <c r="GX116" s="227"/>
      <c r="GY116" s="227"/>
      <c r="GZ116" s="227"/>
      <c r="HA116" s="227"/>
      <c r="HB116" s="227"/>
      <c r="HC116" s="227"/>
      <c r="HD116" s="227"/>
      <c r="HE116" s="227"/>
      <c r="HF116" s="227"/>
      <c r="HG116" s="227"/>
      <c r="HH116" s="227"/>
      <c r="HI116" s="227"/>
      <c r="HJ116" s="227"/>
      <c r="HK116" s="227"/>
      <c r="HL116" s="227"/>
      <c r="HM116" s="227"/>
      <c r="HN116" s="227"/>
      <c r="HO116" s="227"/>
      <c r="HP116" s="227"/>
      <c r="HQ116" s="227"/>
      <c r="HR116" s="227"/>
      <c r="HS116" s="227"/>
      <c r="HT116" s="227"/>
      <c r="HU116" s="227"/>
      <c r="HV116" s="227"/>
      <c r="HW116" s="227"/>
      <c r="HX116" s="227"/>
      <c r="HY116" s="227"/>
      <c r="HZ116" s="227"/>
      <c r="IA116" s="227"/>
      <c r="IB116" s="227"/>
      <c r="IC116" s="227"/>
      <c r="ID116" s="227"/>
      <c r="IE116" s="227"/>
      <c r="IF116" s="227"/>
      <c r="IG116" s="227"/>
      <c r="IH116" s="227"/>
      <c r="II116" s="227"/>
      <c r="IJ116" s="227"/>
      <c r="IK116" s="227"/>
      <c r="IL116" s="227"/>
      <c r="IM116" s="227"/>
      <c r="IN116" s="227"/>
      <c r="IO116" s="227"/>
      <c r="IP116" s="227"/>
      <c r="IQ116" s="227"/>
      <c r="IR116" s="227"/>
      <c r="IS116" s="227"/>
      <c r="IT116" s="227"/>
      <c r="IU116" s="227"/>
      <c r="IV116" s="227"/>
    </row>
    <row r="117" spans="1:256" s="225" customFormat="1" ht="16.5" customHeight="1" thickBot="1" x14ac:dyDescent="0.25">
      <c r="A117" s="467" t="s">
        <v>565</v>
      </c>
      <c r="B117" s="17">
        <f>B114*(1-B115)+B116</f>
        <v>691.55802219979819</v>
      </c>
      <c r="C117" s="17">
        <f t="shared" ref="C117:G117" si="15">C114*(1-C115)+C116</f>
        <v>779.93618960802189</v>
      </c>
      <c r="D117" s="17">
        <f t="shared" si="15"/>
        <v>815.75022624434393</v>
      </c>
      <c r="E117" s="17">
        <f t="shared" si="15"/>
        <v>828.89230769230778</v>
      </c>
      <c r="F117" s="17">
        <f t="shared" si="15"/>
        <v>778.967619047619</v>
      </c>
      <c r="G117" s="17">
        <f t="shared" si="15"/>
        <v>608.52</v>
      </c>
      <c r="H117" s="687"/>
      <c r="I117" s="687"/>
      <c r="J117" s="687"/>
      <c r="K117" s="687"/>
      <c r="L117" s="687"/>
      <c r="M117" s="687"/>
      <c r="N117" s="687"/>
      <c r="O117" s="687"/>
      <c r="P117" s="687"/>
      <c r="Q117" s="687"/>
      <c r="R117" s="687"/>
      <c r="S117" s="687"/>
      <c r="T117" s="687"/>
      <c r="U117" s="687"/>
      <c r="V117" s="687"/>
      <c r="W117" s="687"/>
      <c r="X117" s="687"/>
      <c r="Y117" s="687"/>
      <c r="Z117" s="687"/>
      <c r="AA117" s="198"/>
      <c r="AB117" s="198"/>
      <c r="AC117" s="198"/>
      <c r="AD117" s="198"/>
      <c r="AE117" s="198"/>
      <c r="AF117" s="198"/>
      <c r="AG117" s="198"/>
      <c r="AH117" s="198"/>
      <c r="AI117" s="198"/>
      <c r="AJ117" s="198"/>
      <c r="AK117" s="198"/>
      <c r="AL117" s="198"/>
      <c r="AM117" s="198"/>
      <c r="AN117" s="198"/>
      <c r="AO117" s="198"/>
      <c r="AP117" s="198"/>
      <c r="AQ117" s="198"/>
      <c r="AR117" s="198"/>
      <c r="AS117" s="198"/>
      <c r="AT117" s="198"/>
      <c r="AU117" s="198"/>
      <c r="AV117" s="198"/>
      <c r="AW117" s="198"/>
      <c r="AX117" s="198"/>
      <c r="AY117" s="198"/>
      <c r="AZ117" s="198"/>
      <c r="BA117" s="198"/>
      <c r="BB117" s="198"/>
      <c r="BC117" s="198"/>
      <c r="BD117" s="198"/>
      <c r="BE117" s="198"/>
      <c r="BF117" s="198"/>
      <c r="BG117" s="198"/>
      <c r="BH117" s="198"/>
      <c r="BI117" s="198"/>
      <c r="BJ117" s="198"/>
      <c r="BK117" s="198"/>
      <c r="BL117" s="198"/>
      <c r="BM117" s="198"/>
      <c r="BN117" s="198"/>
      <c r="BO117" s="198"/>
      <c r="BP117" s="198"/>
      <c r="BQ117" s="198"/>
      <c r="BR117" s="198"/>
      <c r="BS117" s="198"/>
      <c r="BT117" s="198"/>
      <c r="BU117" s="198"/>
      <c r="BV117" s="198"/>
      <c r="BW117" s="198"/>
      <c r="BX117" s="198"/>
      <c r="BY117" s="198"/>
      <c r="BZ117" s="198"/>
      <c r="CA117" s="198"/>
      <c r="CB117" s="198"/>
      <c r="CC117" s="198"/>
      <c r="CD117" s="198"/>
      <c r="CE117" s="198"/>
      <c r="CF117" s="198"/>
      <c r="CG117" s="198"/>
      <c r="CH117" s="198"/>
      <c r="CI117" s="198"/>
      <c r="CJ117" s="198"/>
      <c r="CK117" s="198"/>
      <c r="CL117" s="198"/>
      <c r="CM117" s="198"/>
      <c r="CN117" s="198"/>
      <c r="CO117" s="198"/>
      <c r="CP117" s="198"/>
      <c r="CQ117" s="198"/>
      <c r="CR117" s="198"/>
      <c r="CS117" s="198"/>
      <c r="CT117" s="198"/>
      <c r="CU117" s="198"/>
      <c r="CV117" s="198"/>
      <c r="CW117" s="198"/>
      <c r="CX117" s="198"/>
      <c r="CY117" s="198"/>
      <c r="CZ117" s="198"/>
      <c r="DA117" s="198"/>
      <c r="DB117" s="198"/>
      <c r="DC117" s="198"/>
      <c r="DD117" s="198"/>
      <c r="DE117" s="198"/>
      <c r="DF117" s="198"/>
      <c r="DG117" s="198"/>
      <c r="DH117" s="198"/>
      <c r="DI117" s="198"/>
      <c r="DJ117" s="198"/>
      <c r="DK117" s="198"/>
      <c r="DL117" s="198"/>
      <c r="DM117" s="198"/>
      <c r="DN117" s="198"/>
      <c r="DO117" s="198"/>
      <c r="DP117" s="198"/>
      <c r="DQ117" s="198"/>
      <c r="DR117" s="198"/>
      <c r="DS117" s="198"/>
      <c r="DT117" s="198"/>
      <c r="DU117" s="198"/>
      <c r="DV117" s="198"/>
      <c r="DW117" s="198"/>
      <c r="DX117" s="198"/>
      <c r="DY117" s="198"/>
      <c r="DZ117" s="198"/>
      <c r="EA117" s="198"/>
      <c r="EB117" s="198"/>
      <c r="EC117" s="198"/>
      <c r="ED117" s="198"/>
      <c r="EE117" s="198"/>
      <c r="EF117" s="198"/>
      <c r="EG117" s="198"/>
      <c r="EH117" s="198"/>
      <c r="EI117" s="198"/>
      <c r="EJ117" s="198"/>
      <c r="EK117" s="198"/>
      <c r="EL117" s="198"/>
      <c r="EM117" s="198"/>
      <c r="EN117" s="198"/>
      <c r="EO117" s="198"/>
      <c r="EP117" s="198"/>
      <c r="EQ117" s="198"/>
      <c r="ER117" s="198"/>
      <c r="ES117" s="198"/>
      <c r="ET117" s="198"/>
      <c r="EU117" s="198"/>
      <c r="EV117" s="198"/>
      <c r="EW117" s="198"/>
      <c r="EX117" s="198"/>
      <c r="EY117" s="198"/>
      <c r="EZ117" s="198"/>
      <c r="FA117" s="198"/>
      <c r="FB117" s="198"/>
      <c r="FC117" s="198"/>
      <c r="FD117" s="198"/>
      <c r="FE117" s="198"/>
      <c r="FF117" s="198"/>
      <c r="FG117" s="198"/>
      <c r="FH117" s="198"/>
      <c r="FI117" s="198"/>
      <c r="FJ117" s="198"/>
      <c r="FK117" s="198"/>
      <c r="FL117" s="198"/>
      <c r="FM117" s="198"/>
      <c r="FN117" s="198"/>
      <c r="FO117" s="198"/>
      <c r="FP117" s="198"/>
      <c r="FQ117" s="198"/>
      <c r="FR117" s="198"/>
      <c r="FS117" s="198"/>
      <c r="FT117" s="198"/>
      <c r="FU117" s="198"/>
      <c r="FV117" s="198"/>
      <c r="FW117" s="198"/>
      <c r="FX117" s="198"/>
      <c r="FY117" s="198"/>
      <c r="FZ117" s="198"/>
      <c r="GA117" s="198"/>
      <c r="GB117" s="198"/>
      <c r="GC117" s="198"/>
      <c r="GD117" s="198"/>
      <c r="GE117" s="198"/>
      <c r="GF117" s="198"/>
      <c r="GG117" s="198"/>
      <c r="GH117" s="198"/>
      <c r="GI117" s="198"/>
      <c r="GJ117" s="198"/>
      <c r="GK117" s="198"/>
      <c r="GL117" s="198"/>
      <c r="GM117" s="198"/>
      <c r="GN117" s="198"/>
      <c r="GO117" s="198"/>
      <c r="GP117" s="198"/>
      <c r="GQ117" s="198"/>
      <c r="GR117" s="198"/>
      <c r="GS117" s="198"/>
      <c r="GT117" s="198"/>
      <c r="GU117" s="198"/>
      <c r="GV117" s="198"/>
      <c r="GW117" s="198"/>
      <c r="GX117" s="198"/>
      <c r="GY117" s="198"/>
      <c r="GZ117" s="198"/>
      <c r="HA117" s="198"/>
      <c r="HB117" s="198"/>
      <c r="HC117" s="198"/>
      <c r="HD117" s="198"/>
      <c r="HE117" s="198"/>
      <c r="HF117" s="198"/>
      <c r="HG117" s="198"/>
      <c r="HH117" s="198"/>
      <c r="HI117" s="198"/>
      <c r="HJ117" s="198"/>
      <c r="HK117" s="198"/>
      <c r="HL117" s="198"/>
      <c r="HM117" s="198"/>
      <c r="HN117" s="198"/>
      <c r="HO117" s="198"/>
      <c r="HP117" s="198"/>
      <c r="HQ117" s="198"/>
      <c r="HR117" s="198"/>
      <c r="HS117" s="198"/>
      <c r="HT117" s="198"/>
      <c r="HU117" s="198"/>
      <c r="HV117" s="198"/>
      <c r="HW117" s="198"/>
      <c r="HX117" s="198"/>
      <c r="HY117" s="198"/>
      <c r="HZ117" s="198"/>
      <c r="IA117" s="198"/>
      <c r="IB117" s="198"/>
      <c r="IC117" s="198"/>
      <c r="ID117" s="198"/>
      <c r="IE117" s="198"/>
      <c r="IF117" s="198"/>
      <c r="IG117" s="198"/>
      <c r="IH117" s="198"/>
      <c r="II117" s="198"/>
      <c r="IJ117" s="198"/>
      <c r="IK117" s="198"/>
      <c r="IL117" s="198"/>
      <c r="IM117" s="198"/>
      <c r="IN117" s="198"/>
      <c r="IO117" s="198"/>
      <c r="IP117" s="198"/>
      <c r="IQ117" s="198"/>
      <c r="IR117" s="198"/>
      <c r="IS117" s="198"/>
      <c r="IT117" s="198"/>
      <c r="IU117" s="198"/>
      <c r="IV117" s="198"/>
    </row>
    <row r="118" spans="1:256" s="497" customFormat="1" ht="16.5" customHeight="1" x14ac:dyDescent="0.2">
      <c r="H118" s="1058"/>
      <c r="I118" s="1058"/>
      <c r="J118" s="1058"/>
      <c r="K118" s="1058"/>
      <c r="L118" s="1058"/>
      <c r="M118" s="1058"/>
      <c r="N118" s="1058"/>
      <c r="O118" s="1058"/>
      <c r="P118" s="1058"/>
      <c r="Q118" s="1058"/>
      <c r="R118" s="1058"/>
      <c r="S118" s="1058"/>
      <c r="T118" s="1058"/>
      <c r="U118" s="1058"/>
      <c r="V118" s="1058"/>
      <c r="W118" s="1058"/>
      <c r="X118" s="1058"/>
      <c r="Y118" s="1058"/>
      <c r="Z118" s="1058"/>
    </row>
    <row r="119" spans="1:256" ht="16.5" customHeight="1" x14ac:dyDescent="0.2">
      <c r="A119" s="499" t="s">
        <v>542</v>
      </c>
      <c r="B119" s="197"/>
      <c r="C119" s="82"/>
      <c r="D119" s="82"/>
      <c r="E119" s="82"/>
      <c r="F119" s="82"/>
      <c r="G119" s="82"/>
      <c r="H119" s="1008"/>
    </row>
    <row r="120" spans="1:256" s="217" customFormat="1" ht="16.5" customHeight="1" x14ac:dyDescent="0.2">
      <c r="A120" s="39" t="s">
        <v>137</v>
      </c>
      <c r="B120" s="182">
        <f t="shared" ref="B120:G120" si="16">-B87</f>
        <v>127</v>
      </c>
      <c r="C120" s="182">
        <f t="shared" si="16"/>
        <v>180</v>
      </c>
      <c r="D120" s="182">
        <f t="shared" si="16"/>
        <v>209</v>
      </c>
      <c r="E120" s="182">
        <f t="shared" si="16"/>
        <v>238</v>
      </c>
      <c r="F120" s="182">
        <f t="shared" si="16"/>
        <v>232</v>
      </c>
      <c r="G120" s="182">
        <f t="shared" si="16"/>
        <v>240</v>
      </c>
      <c r="H120" s="685"/>
      <c r="I120" s="685"/>
      <c r="J120" s="685"/>
      <c r="K120" s="685"/>
      <c r="L120" s="685"/>
      <c r="M120" s="685"/>
      <c r="N120" s="685"/>
      <c r="O120" s="685"/>
      <c r="P120" s="685"/>
      <c r="Q120" s="685"/>
      <c r="R120" s="685"/>
      <c r="S120" s="685"/>
      <c r="T120" s="685"/>
      <c r="U120" s="685"/>
      <c r="V120" s="685"/>
      <c r="W120" s="685"/>
      <c r="X120" s="685"/>
      <c r="Y120" s="685"/>
      <c r="Z120" s="685"/>
      <c r="AA120" s="88"/>
      <c r="AB120" s="88"/>
      <c r="AC120" s="88"/>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88"/>
      <c r="BF120" s="88"/>
      <c r="BG120" s="88"/>
      <c r="BH120" s="88"/>
      <c r="BI120" s="88"/>
      <c r="BJ120" s="88"/>
      <c r="BK120" s="88"/>
      <c r="BL120" s="88"/>
      <c r="BM120" s="88"/>
      <c r="BN120" s="88"/>
      <c r="BO120" s="88"/>
      <c r="BP120" s="88"/>
      <c r="BQ120" s="88"/>
      <c r="BR120" s="88"/>
      <c r="BS120" s="88"/>
      <c r="BT120" s="88"/>
      <c r="BU120" s="88"/>
      <c r="BV120" s="88"/>
      <c r="BW120" s="88"/>
      <c r="BX120" s="88"/>
      <c r="BY120" s="88"/>
      <c r="BZ120" s="88"/>
      <c r="CA120" s="88"/>
      <c r="CB120" s="88"/>
      <c r="CC120" s="88"/>
      <c r="CD120" s="88"/>
      <c r="CE120" s="88"/>
      <c r="CF120" s="88"/>
      <c r="CG120" s="88"/>
      <c r="CH120" s="88"/>
      <c r="CI120" s="88"/>
      <c r="CJ120" s="88"/>
      <c r="CK120" s="88"/>
      <c r="CL120" s="88"/>
      <c r="CM120" s="88"/>
      <c r="CN120" s="88"/>
      <c r="CO120" s="88"/>
      <c r="CP120" s="88"/>
      <c r="CQ120" s="88"/>
      <c r="CR120" s="88"/>
      <c r="CS120" s="88"/>
      <c r="CT120" s="88"/>
      <c r="CU120" s="88"/>
      <c r="CV120" s="88"/>
      <c r="CW120" s="88"/>
      <c r="CX120" s="88"/>
      <c r="CY120" s="88"/>
      <c r="CZ120" s="88"/>
      <c r="DA120" s="88"/>
      <c r="DB120" s="88"/>
      <c r="DC120" s="88"/>
      <c r="DD120" s="88"/>
      <c r="DE120" s="88"/>
      <c r="DF120" s="88"/>
      <c r="DG120" s="88"/>
      <c r="DH120" s="88"/>
      <c r="DI120" s="88"/>
      <c r="DJ120" s="88"/>
      <c r="DK120" s="88"/>
      <c r="DL120" s="88"/>
      <c r="DM120" s="88"/>
      <c r="DN120" s="88"/>
      <c r="DO120" s="88"/>
      <c r="DP120" s="88"/>
      <c r="DQ120" s="88"/>
      <c r="DR120" s="88"/>
      <c r="DS120" s="88"/>
      <c r="DT120" s="88"/>
      <c r="DU120" s="88"/>
      <c r="DV120" s="88"/>
      <c r="DW120" s="88"/>
      <c r="DX120" s="88"/>
      <c r="DY120" s="88"/>
      <c r="DZ120" s="88"/>
      <c r="EA120" s="88"/>
      <c r="EB120" s="88"/>
      <c r="EC120" s="88"/>
      <c r="ED120" s="88"/>
      <c r="EE120" s="88"/>
      <c r="EF120" s="88"/>
      <c r="EG120" s="88"/>
      <c r="EH120" s="88"/>
      <c r="EI120" s="88"/>
      <c r="EJ120" s="88"/>
      <c r="EK120" s="88"/>
      <c r="EL120" s="88"/>
      <c r="EM120" s="88"/>
      <c r="EN120" s="88"/>
      <c r="EO120" s="88"/>
      <c r="EP120" s="88"/>
      <c r="EQ120" s="88"/>
      <c r="ER120" s="88"/>
      <c r="ES120" s="88"/>
      <c r="ET120" s="88"/>
      <c r="EU120" s="88"/>
      <c r="EV120" s="88"/>
      <c r="EW120" s="88"/>
      <c r="EX120" s="88"/>
      <c r="EY120" s="88"/>
      <c r="EZ120" s="88"/>
      <c r="FA120" s="88"/>
      <c r="FB120" s="88"/>
      <c r="FC120" s="88"/>
      <c r="FD120" s="88"/>
      <c r="FE120" s="88"/>
      <c r="FF120" s="88"/>
      <c r="FG120" s="88"/>
      <c r="FH120" s="88"/>
      <c r="FI120" s="88"/>
      <c r="FJ120" s="88"/>
      <c r="FK120" s="88"/>
      <c r="FL120" s="88"/>
      <c r="FM120" s="88"/>
      <c r="FN120" s="88"/>
      <c r="FO120" s="88"/>
      <c r="FP120" s="88"/>
      <c r="FQ120" s="88"/>
      <c r="FR120" s="88"/>
      <c r="FS120" s="88"/>
      <c r="FT120" s="88"/>
      <c r="FU120" s="88"/>
      <c r="FV120" s="88"/>
      <c r="FW120" s="88"/>
      <c r="FX120" s="88"/>
      <c r="FY120" s="88"/>
      <c r="FZ120" s="88"/>
      <c r="GA120" s="88"/>
      <c r="GB120" s="88"/>
      <c r="GC120" s="88"/>
      <c r="GD120" s="88"/>
      <c r="GE120" s="88"/>
      <c r="GF120" s="88"/>
      <c r="GG120" s="88"/>
      <c r="GH120" s="88"/>
      <c r="GI120" s="88"/>
      <c r="GJ120" s="88"/>
      <c r="GK120" s="88"/>
      <c r="GL120" s="88"/>
      <c r="GM120" s="88"/>
      <c r="GN120" s="88"/>
      <c r="GO120" s="88"/>
      <c r="GP120" s="88"/>
      <c r="GQ120" s="88"/>
      <c r="GR120" s="88"/>
      <c r="GS120" s="88"/>
      <c r="GT120" s="88"/>
      <c r="GU120" s="88"/>
      <c r="GV120" s="88"/>
      <c r="GW120" s="88"/>
      <c r="GX120" s="88"/>
      <c r="GY120" s="88"/>
      <c r="GZ120" s="88"/>
      <c r="HA120" s="88"/>
      <c r="HB120" s="88"/>
      <c r="HC120" s="88"/>
      <c r="HD120" s="88"/>
      <c r="HE120" s="88"/>
      <c r="HF120" s="88"/>
      <c r="HG120" s="88"/>
      <c r="HH120" s="88"/>
      <c r="HI120" s="88"/>
      <c r="HJ120" s="88"/>
      <c r="HK120" s="88"/>
      <c r="HL120" s="88"/>
      <c r="HM120" s="88"/>
      <c r="HN120" s="88"/>
      <c r="HO120" s="88"/>
      <c r="HP120" s="88"/>
      <c r="HQ120" s="88"/>
      <c r="HR120" s="88"/>
      <c r="HS120" s="88"/>
      <c r="HT120" s="88"/>
      <c r="HU120" s="88"/>
      <c r="HV120" s="88"/>
      <c r="HW120" s="88"/>
      <c r="HX120" s="88"/>
      <c r="HY120" s="88"/>
      <c r="HZ120" s="88"/>
      <c r="IA120" s="88"/>
      <c r="IB120" s="88"/>
      <c r="IC120" s="88"/>
      <c r="ID120" s="88"/>
      <c r="IE120" s="88"/>
      <c r="IF120" s="88"/>
      <c r="IG120" s="88"/>
      <c r="IH120" s="88"/>
      <c r="II120" s="88"/>
      <c r="IJ120" s="88"/>
      <c r="IK120" s="88"/>
      <c r="IL120" s="88"/>
      <c r="IM120" s="88"/>
      <c r="IN120" s="88"/>
      <c r="IO120" s="88"/>
      <c r="IP120" s="88"/>
      <c r="IQ120" s="88"/>
      <c r="IR120" s="88"/>
      <c r="IS120" s="88"/>
      <c r="IT120" s="88"/>
      <c r="IU120" s="88"/>
      <c r="IV120" s="88"/>
    </row>
    <row r="121" spans="1:256" s="217" customFormat="1" ht="16.5" customHeight="1" x14ac:dyDescent="0.2">
      <c r="A121" s="75" t="s">
        <v>555</v>
      </c>
      <c r="B121" s="75">
        <f t="shared" ref="B121:G121" si="17">-B89</f>
        <v>0</v>
      </c>
      <c r="C121" s="75">
        <f t="shared" si="17"/>
        <v>0</v>
      </c>
      <c r="D121" s="75">
        <f t="shared" si="17"/>
        <v>0</v>
      </c>
      <c r="E121" s="75">
        <f t="shared" si="17"/>
        <v>0</v>
      </c>
      <c r="F121" s="75">
        <f t="shared" si="17"/>
        <v>0</v>
      </c>
      <c r="G121" s="75">
        <f t="shared" si="17"/>
        <v>0</v>
      </c>
      <c r="H121" s="725" t="s">
        <v>1035</v>
      </c>
      <c r="I121" s="685"/>
      <c r="J121" s="685"/>
      <c r="K121" s="685"/>
      <c r="L121" s="685"/>
      <c r="M121" s="685"/>
      <c r="N121" s="685"/>
      <c r="O121" s="685"/>
      <c r="P121" s="685"/>
      <c r="Q121" s="685"/>
      <c r="R121" s="685"/>
      <c r="S121" s="685"/>
      <c r="T121" s="685"/>
      <c r="U121" s="685"/>
      <c r="V121" s="685"/>
      <c r="W121" s="685"/>
      <c r="X121" s="685"/>
      <c r="Y121" s="685"/>
      <c r="Z121" s="685"/>
      <c r="AA121" s="88"/>
      <c r="AB121" s="88"/>
      <c r="AC121" s="88"/>
      <c r="AD121" s="88"/>
      <c r="AE121" s="88"/>
      <c r="AF121" s="88"/>
      <c r="AG121" s="88"/>
      <c r="AH121" s="88"/>
      <c r="AI121" s="88"/>
      <c r="AJ121" s="88"/>
      <c r="AK121" s="88"/>
      <c r="AL121" s="88"/>
      <c r="AM121" s="88"/>
      <c r="AN121" s="88"/>
      <c r="AO121" s="88"/>
      <c r="AP121" s="88"/>
      <c r="AQ121" s="88"/>
      <c r="AR121" s="88"/>
      <c r="AS121" s="88"/>
      <c r="AT121" s="88"/>
      <c r="AU121" s="88"/>
      <c r="AV121" s="88"/>
      <c r="AW121" s="88"/>
      <c r="AX121" s="88"/>
      <c r="AY121" s="88"/>
      <c r="AZ121" s="88"/>
      <c r="BA121" s="88"/>
      <c r="BB121" s="88"/>
      <c r="BC121" s="88"/>
      <c r="BD121" s="88"/>
      <c r="BE121" s="88"/>
      <c r="BF121" s="88"/>
      <c r="BG121" s="88"/>
      <c r="BH121" s="88"/>
      <c r="BI121" s="88"/>
      <c r="BJ121" s="88"/>
      <c r="BK121" s="88"/>
      <c r="BL121" s="88"/>
      <c r="BM121" s="88"/>
      <c r="BN121" s="88"/>
      <c r="BO121" s="88"/>
      <c r="BP121" s="88"/>
      <c r="BQ121" s="88"/>
      <c r="BR121" s="88"/>
      <c r="BS121" s="88"/>
      <c r="BT121" s="88"/>
      <c r="BU121" s="88"/>
      <c r="BV121" s="88"/>
      <c r="BW121" s="88"/>
      <c r="BX121" s="88"/>
      <c r="BY121" s="88"/>
      <c r="BZ121" s="88"/>
      <c r="CA121" s="88"/>
      <c r="CB121" s="88"/>
      <c r="CC121" s="88"/>
      <c r="CD121" s="88"/>
      <c r="CE121" s="88"/>
      <c r="CF121" s="88"/>
      <c r="CG121" s="88"/>
      <c r="CH121" s="88"/>
      <c r="CI121" s="88"/>
      <c r="CJ121" s="88"/>
      <c r="CK121" s="88"/>
      <c r="CL121" s="88"/>
      <c r="CM121" s="88"/>
      <c r="CN121" s="88"/>
      <c r="CO121" s="88"/>
      <c r="CP121" s="88"/>
      <c r="CQ121" s="88"/>
      <c r="CR121" s="88"/>
      <c r="CS121" s="88"/>
      <c r="CT121" s="88"/>
      <c r="CU121" s="88"/>
      <c r="CV121" s="88"/>
      <c r="CW121" s="88"/>
      <c r="CX121" s="88"/>
      <c r="CY121" s="88"/>
      <c r="CZ121" s="88"/>
      <c r="DA121" s="88"/>
      <c r="DB121" s="88"/>
      <c r="DC121" s="88"/>
      <c r="DD121" s="88"/>
      <c r="DE121" s="88"/>
      <c r="DF121" s="88"/>
      <c r="DG121" s="88"/>
      <c r="DH121" s="88"/>
      <c r="DI121" s="88"/>
      <c r="DJ121" s="88"/>
      <c r="DK121" s="88"/>
      <c r="DL121" s="88"/>
      <c r="DM121" s="88"/>
      <c r="DN121" s="88"/>
      <c r="DO121" s="88"/>
      <c r="DP121" s="88"/>
      <c r="DQ121" s="88"/>
      <c r="DR121" s="88"/>
      <c r="DS121" s="88"/>
      <c r="DT121" s="88"/>
      <c r="DU121" s="88"/>
      <c r="DV121" s="88"/>
      <c r="DW121" s="88"/>
      <c r="DX121" s="88"/>
      <c r="DY121" s="88"/>
      <c r="DZ121" s="88"/>
      <c r="EA121" s="88"/>
      <c r="EB121" s="88"/>
      <c r="EC121" s="88"/>
      <c r="ED121" s="88"/>
      <c r="EE121" s="88"/>
      <c r="EF121" s="88"/>
      <c r="EG121" s="88"/>
      <c r="EH121" s="88"/>
      <c r="EI121" s="88"/>
      <c r="EJ121" s="88"/>
      <c r="EK121" s="88"/>
      <c r="EL121" s="88"/>
      <c r="EM121" s="88"/>
      <c r="EN121" s="88"/>
      <c r="EO121" s="88"/>
      <c r="EP121" s="88"/>
      <c r="EQ121" s="88"/>
      <c r="ER121" s="88"/>
      <c r="ES121" s="88"/>
      <c r="ET121" s="88"/>
      <c r="EU121" s="88"/>
      <c r="EV121" s="88"/>
      <c r="EW121" s="88"/>
      <c r="EX121" s="88"/>
      <c r="EY121" s="88"/>
      <c r="EZ121" s="88"/>
      <c r="FA121" s="88"/>
      <c r="FB121" s="88"/>
      <c r="FC121" s="88"/>
      <c r="FD121" s="88"/>
      <c r="FE121" s="88"/>
      <c r="FF121" s="88"/>
      <c r="FG121" s="88"/>
      <c r="FH121" s="88"/>
      <c r="FI121" s="88"/>
      <c r="FJ121" s="88"/>
      <c r="FK121" s="88"/>
      <c r="FL121" s="88"/>
      <c r="FM121" s="88"/>
      <c r="FN121" s="88"/>
      <c r="FO121" s="88"/>
      <c r="FP121" s="88"/>
      <c r="FQ121" s="88"/>
      <c r="FR121" s="88"/>
      <c r="FS121" s="88"/>
      <c r="FT121" s="88"/>
      <c r="FU121" s="88"/>
      <c r="FV121" s="88"/>
      <c r="FW121" s="88"/>
      <c r="FX121" s="88"/>
      <c r="FY121" s="88"/>
      <c r="FZ121" s="88"/>
      <c r="GA121" s="88"/>
      <c r="GB121" s="88"/>
      <c r="GC121" s="88"/>
      <c r="GD121" s="88"/>
      <c r="GE121" s="88"/>
      <c r="GF121" s="88"/>
      <c r="GG121" s="88"/>
      <c r="GH121" s="88"/>
      <c r="GI121" s="88"/>
      <c r="GJ121" s="88"/>
      <c r="GK121" s="88"/>
      <c r="GL121" s="88"/>
      <c r="GM121" s="88"/>
      <c r="GN121" s="88"/>
      <c r="GO121" s="88"/>
      <c r="GP121" s="88"/>
      <c r="GQ121" s="88"/>
      <c r="GR121" s="88"/>
      <c r="GS121" s="88"/>
      <c r="GT121" s="88"/>
      <c r="GU121" s="88"/>
      <c r="GV121" s="88"/>
      <c r="GW121" s="88"/>
      <c r="GX121" s="88"/>
      <c r="GY121" s="88"/>
      <c r="GZ121" s="88"/>
      <c r="HA121" s="88"/>
      <c r="HB121" s="88"/>
      <c r="HC121" s="88"/>
      <c r="HD121" s="88"/>
      <c r="HE121" s="88"/>
      <c r="HF121" s="88"/>
      <c r="HG121" s="88"/>
      <c r="HH121" s="88"/>
      <c r="HI121" s="88"/>
      <c r="HJ121" s="88"/>
      <c r="HK121" s="88"/>
      <c r="HL121" s="88"/>
      <c r="HM121" s="88"/>
      <c r="HN121" s="88"/>
      <c r="HO121" s="88"/>
      <c r="HP121" s="88"/>
      <c r="HQ121" s="88"/>
      <c r="HR121" s="88"/>
      <c r="HS121" s="88"/>
      <c r="HT121" s="88"/>
      <c r="HU121" s="88"/>
      <c r="HV121" s="88"/>
      <c r="HW121" s="88"/>
      <c r="HX121" s="88"/>
      <c r="HY121" s="88"/>
      <c r="HZ121" s="88"/>
      <c r="IA121" s="88"/>
      <c r="IB121" s="88"/>
      <c r="IC121" s="88"/>
      <c r="ID121" s="88"/>
      <c r="IE121" s="88"/>
      <c r="IF121" s="88"/>
      <c r="IG121" s="88"/>
      <c r="IH121" s="88"/>
      <c r="II121" s="88"/>
      <c r="IJ121" s="88"/>
      <c r="IK121" s="88"/>
      <c r="IL121" s="88"/>
      <c r="IM121" s="88"/>
      <c r="IN121" s="88"/>
      <c r="IO121" s="88"/>
      <c r="IP121" s="88"/>
      <c r="IQ121" s="88"/>
      <c r="IR121" s="88"/>
      <c r="IS121" s="88"/>
      <c r="IT121" s="88"/>
      <c r="IU121" s="88"/>
      <c r="IV121" s="88"/>
    </row>
    <row r="122" spans="1:256" s="217" customFormat="1" ht="16.5" customHeight="1" x14ac:dyDescent="0.2">
      <c r="A122" s="71" t="s">
        <v>543</v>
      </c>
      <c r="B122" s="75">
        <f t="shared" ref="B122:G122" si="18">B90</f>
        <v>0</v>
      </c>
      <c r="C122" s="75">
        <f t="shared" si="18"/>
        <v>0</v>
      </c>
      <c r="D122" s="75">
        <f t="shared" si="18"/>
        <v>0</v>
      </c>
      <c r="E122" s="75">
        <f t="shared" si="18"/>
        <v>0</v>
      </c>
      <c r="F122" s="75">
        <f t="shared" si="18"/>
        <v>0</v>
      </c>
      <c r="G122" s="75">
        <f t="shared" si="18"/>
        <v>0</v>
      </c>
      <c r="H122" s="724" t="s">
        <v>1035</v>
      </c>
      <c r="I122" s="685"/>
      <c r="J122" s="685"/>
      <c r="K122" s="685"/>
      <c r="L122" s="685"/>
      <c r="M122" s="685"/>
      <c r="N122" s="685"/>
      <c r="O122" s="685"/>
      <c r="P122" s="685"/>
      <c r="Q122" s="685"/>
      <c r="R122" s="685"/>
      <c r="S122" s="685"/>
      <c r="T122" s="685"/>
      <c r="U122" s="685"/>
      <c r="V122" s="685"/>
      <c r="W122" s="685"/>
      <c r="X122" s="685"/>
      <c r="Y122" s="685"/>
      <c r="Z122" s="685"/>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c r="BY122" s="88"/>
      <c r="BZ122" s="88"/>
      <c r="CA122" s="88"/>
      <c r="CB122" s="88"/>
      <c r="CC122" s="88"/>
      <c r="CD122" s="88"/>
      <c r="CE122" s="88"/>
      <c r="CF122" s="88"/>
      <c r="CG122" s="88"/>
      <c r="CH122" s="88"/>
      <c r="CI122" s="88"/>
      <c r="CJ122" s="88"/>
      <c r="CK122" s="88"/>
      <c r="CL122" s="88"/>
      <c r="CM122" s="88"/>
      <c r="CN122" s="88"/>
      <c r="CO122" s="88"/>
      <c r="CP122" s="88"/>
      <c r="CQ122" s="88"/>
      <c r="CR122" s="88"/>
      <c r="CS122" s="88"/>
      <c r="CT122" s="88"/>
      <c r="CU122" s="88"/>
      <c r="CV122" s="88"/>
      <c r="CW122" s="88"/>
      <c r="CX122" s="88"/>
      <c r="CY122" s="88"/>
      <c r="CZ122" s="88"/>
      <c r="DA122" s="88"/>
      <c r="DB122" s="88"/>
      <c r="DC122" s="88"/>
      <c r="DD122" s="88"/>
      <c r="DE122" s="88"/>
      <c r="DF122" s="88"/>
      <c r="DG122" s="88"/>
      <c r="DH122" s="88"/>
      <c r="DI122" s="88"/>
      <c r="DJ122" s="88"/>
      <c r="DK122" s="88"/>
      <c r="DL122" s="88"/>
      <c r="DM122" s="88"/>
      <c r="DN122" s="88"/>
      <c r="DO122" s="88"/>
      <c r="DP122" s="88"/>
      <c r="DQ122" s="88"/>
      <c r="DR122" s="88"/>
      <c r="DS122" s="88"/>
      <c r="DT122" s="88"/>
      <c r="DU122" s="88"/>
      <c r="DV122" s="88"/>
      <c r="DW122" s="88"/>
      <c r="DX122" s="88"/>
      <c r="DY122" s="88"/>
      <c r="DZ122" s="88"/>
      <c r="EA122" s="88"/>
      <c r="EB122" s="88"/>
      <c r="EC122" s="88"/>
      <c r="ED122" s="88"/>
      <c r="EE122" s="88"/>
      <c r="EF122" s="88"/>
      <c r="EG122" s="88"/>
      <c r="EH122" s="88"/>
      <c r="EI122" s="88"/>
      <c r="EJ122" s="88"/>
      <c r="EK122" s="88"/>
      <c r="EL122" s="88"/>
      <c r="EM122" s="88"/>
      <c r="EN122" s="88"/>
      <c r="EO122" s="88"/>
      <c r="EP122" s="88"/>
      <c r="EQ122" s="88"/>
      <c r="ER122" s="88"/>
      <c r="ES122" s="88"/>
      <c r="ET122" s="88"/>
      <c r="EU122" s="88"/>
      <c r="EV122" s="88"/>
      <c r="EW122" s="88"/>
      <c r="EX122" s="88"/>
      <c r="EY122" s="88"/>
      <c r="EZ122" s="88"/>
      <c r="FA122" s="88"/>
      <c r="FB122" s="88"/>
      <c r="FC122" s="88"/>
      <c r="FD122" s="88"/>
      <c r="FE122" s="88"/>
      <c r="FF122" s="88"/>
      <c r="FG122" s="88"/>
      <c r="FH122" s="88"/>
      <c r="FI122" s="88"/>
      <c r="FJ122" s="88"/>
      <c r="FK122" s="88"/>
      <c r="FL122" s="88"/>
      <c r="FM122" s="88"/>
      <c r="FN122" s="88"/>
      <c r="FO122" s="88"/>
      <c r="FP122" s="88"/>
      <c r="FQ122" s="88"/>
      <c r="FR122" s="88"/>
      <c r="FS122" s="88"/>
      <c r="FT122" s="88"/>
      <c r="FU122" s="88"/>
      <c r="FV122" s="88"/>
      <c r="FW122" s="88"/>
      <c r="FX122" s="88"/>
      <c r="FY122" s="88"/>
      <c r="FZ122" s="88"/>
      <c r="GA122" s="88"/>
      <c r="GB122" s="88"/>
      <c r="GC122" s="88"/>
      <c r="GD122" s="88"/>
      <c r="GE122" s="88"/>
      <c r="GF122" s="88"/>
      <c r="GG122" s="88"/>
      <c r="GH122" s="88"/>
      <c r="GI122" s="88"/>
      <c r="GJ122" s="88"/>
      <c r="GK122" s="88"/>
      <c r="GL122" s="88"/>
      <c r="GM122" s="88"/>
      <c r="GN122" s="88"/>
      <c r="GO122" s="88"/>
      <c r="GP122" s="88"/>
      <c r="GQ122" s="88"/>
      <c r="GR122" s="88"/>
      <c r="GS122" s="88"/>
      <c r="GT122" s="88"/>
      <c r="GU122" s="88"/>
      <c r="GV122" s="88"/>
      <c r="GW122" s="88"/>
      <c r="GX122" s="88"/>
      <c r="GY122" s="88"/>
      <c r="GZ122" s="88"/>
      <c r="HA122" s="88"/>
      <c r="HB122" s="88"/>
      <c r="HC122" s="88"/>
      <c r="HD122" s="88"/>
      <c r="HE122" s="88"/>
      <c r="HF122" s="88"/>
      <c r="HG122" s="88"/>
      <c r="HH122" s="88"/>
      <c r="HI122" s="88"/>
      <c r="HJ122" s="88"/>
      <c r="HK122" s="88"/>
      <c r="HL122" s="88"/>
      <c r="HM122" s="88"/>
      <c r="HN122" s="88"/>
      <c r="HO122" s="88"/>
      <c r="HP122" s="88"/>
      <c r="HQ122" s="88"/>
      <c r="HR122" s="88"/>
      <c r="HS122" s="88"/>
      <c r="HT122" s="88"/>
      <c r="HU122" s="88"/>
      <c r="HV122" s="88"/>
      <c r="HW122" s="88"/>
      <c r="HX122" s="88"/>
      <c r="HY122" s="88"/>
      <c r="HZ122" s="88"/>
      <c r="IA122" s="88"/>
      <c r="IB122" s="88"/>
      <c r="IC122" s="88"/>
      <c r="ID122" s="88"/>
      <c r="IE122" s="88"/>
      <c r="IF122" s="88"/>
      <c r="IG122" s="88"/>
      <c r="IH122" s="88"/>
      <c r="II122" s="88"/>
      <c r="IJ122" s="88"/>
      <c r="IK122" s="88"/>
      <c r="IL122" s="88"/>
      <c r="IM122" s="88"/>
      <c r="IN122" s="88"/>
      <c r="IO122" s="88"/>
      <c r="IP122" s="88"/>
      <c r="IQ122" s="88"/>
      <c r="IR122" s="88"/>
      <c r="IS122" s="88"/>
      <c r="IT122" s="88"/>
      <c r="IU122" s="88"/>
      <c r="IV122" s="88"/>
    </row>
    <row r="123" spans="1:256" s="539" customFormat="1" ht="16.5" customHeight="1" x14ac:dyDescent="0.2">
      <c r="A123" s="41" t="s">
        <v>547</v>
      </c>
      <c r="B123" s="76">
        <f t="shared" ref="B123:G123" si="19">SUM(B120:B122)</f>
        <v>127</v>
      </c>
      <c r="C123" s="76">
        <f t="shared" si="19"/>
        <v>180</v>
      </c>
      <c r="D123" s="76">
        <f t="shared" si="19"/>
        <v>209</v>
      </c>
      <c r="E123" s="76">
        <f t="shared" si="19"/>
        <v>238</v>
      </c>
      <c r="F123" s="76">
        <f t="shared" si="19"/>
        <v>232</v>
      </c>
      <c r="G123" s="76">
        <f t="shared" si="19"/>
        <v>240</v>
      </c>
      <c r="H123" s="730"/>
      <c r="I123" s="730"/>
      <c r="J123" s="730"/>
      <c r="K123" s="730"/>
      <c r="L123" s="730"/>
      <c r="M123" s="730"/>
      <c r="N123" s="730"/>
      <c r="O123" s="730"/>
      <c r="P123" s="730"/>
      <c r="Q123" s="730"/>
      <c r="R123" s="730"/>
      <c r="S123" s="730"/>
      <c r="T123" s="730"/>
      <c r="U123" s="730"/>
      <c r="V123" s="730"/>
      <c r="W123" s="730"/>
      <c r="X123" s="730"/>
      <c r="Y123" s="730"/>
      <c r="Z123" s="730"/>
      <c r="AA123" s="76"/>
      <c r="AB123" s="76"/>
      <c r="AC123" s="76"/>
      <c r="AD123" s="76"/>
      <c r="AE123" s="76"/>
      <c r="AF123" s="76"/>
      <c r="AG123" s="76"/>
      <c r="AH123" s="76"/>
      <c r="AI123" s="76"/>
      <c r="AJ123" s="76"/>
      <c r="AK123" s="76"/>
      <c r="AL123" s="76"/>
      <c r="AM123" s="76"/>
      <c r="AN123" s="76"/>
      <c r="AO123" s="76"/>
      <c r="AP123" s="76"/>
      <c r="AQ123" s="76"/>
      <c r="AR123" s="76"/>
      <c r="AS123" s="76"/>
      <c r="AT123" s="76"/>
      <c r="AU123" s="76"/>
      <c r="AV123" s="76"/>
      <c r="AW123" s="76"/>
      <c r="AX123" s="76"/>
      <c r="AY123" s="76"/>
      <c r="AZ123" s="76"/>
      <c r="BA123" s="76"/>
      <c r="BB123" s="76"/>
      <c r="BC123" s="76"/>
      <c r="BD123" s="76"/>
      <c r="BE123" s="76"/>
      <c r="BF123" s="76"/>
      <c r="BG123" s="76"/>
      <c r="BH123" s="76"/>
      <c r="BI123" s="76"/>
      <c r="BJ123" s="76"/>
      <c r="BK123" s="76"/>
      <c r="BL123" s="76"/>
      <c r="BM123" s="76"/>
      <c r="BN123" s="76"/>
      <c r="BO123" s="76"/>
      <c r="BP123" s="76"/>
      <c r="BQ123" s="76"/>
      <c r="BR123" s="76"/>
      <c r="BS123" s="76"/>
      <c r="BT123" s="76"/>
      <c r="BU123" s="76"/>
      <c r="BV123" s="76"/>
      <c r="BW123" s="76"/>
      <c r="BX123" s="76"/>
      <c r="BY123" s="76"/>
      <c r="BZ123" s="76"/>
      <c r="CA123" s="76"/>
      <c r="CB123" s="76"/>
      <c r="CC123" s="76"/>
      <c r="CD123" s="76"/>
      <c r="CE123" s="76"/>
      <c r="CF123" s="76"/>
      <c r="CG123" s="76"/>
      <c r="CH123" s="76"/>
      <c r="CI123" s="76"/>
      <c r="CJ123" s="76"/>
      <c r="CK123" s="76"/>
      <c r="CL123" s="76"/>
      <c r="CM123" s="76"/>
      <c r="CN123" s="76"/>
      <c r="CO123" s="76"/>
      <c r="CP123" s="76"/>
      <c r="CQ123" s="76"/>
      <c r="CR123" s="76"/>
      <c r="CS123" s="76"/>
      <c r="CT123" s="76"/>
      <c r="CU123" s="76"/>
      <c r="CV123" s="76"/>
      <c r="CW123" s="76"/>
      <c r="CX123" s="76"/>
      <c r="CY123" s="76"/>
      <c r="CZ123" s="76"/>
      <c r="DA123" s="76"/>
      <c r="DB123" s="76"/>
      <c r="DC123" s="76"/>
      <c r="DD123" s="76"/>
      <c r="DE123" s="76"/>
      <c r="DF123" s="76"/>
      <c r="DG123" s="76"/>
      <c r="DH123" s="76"/>
      <c r="DI123" s="76"/>
      <c r="DJ123" s="76"/>
      <c r="DK123" s="76"/>
      <c r="DL123" s="76"/>
      <c r="DM123" s="76"/>
      <c r="DN123" s="76"/>
      <c r="DO123" s="76"/>
      <c r="DP123" s="76"/>
      <c r="DQ123" s="76"/>
      <c r="DR123" s="76"/>
      <c r="DS123" s="76"/>
      <c r="DT123" s="76"/>
      <c r="DU123" s="76"/>
      <c r="DV123" s="76"/>
      <c r="DW123" s="76"/>
      <c r="DX123" s="76"/>
      <c r="DY123" s="76"/>
      <c r="DZ123" s="76"/>
      <c r="EA123" s="76"/>
      <c r="EB123" s="76"/>
      <c r="EC123" s="76"/>
      <c r="ED123" s="76"/>
      <c r="EE123" s="76"/>
      <c r="EF123" s="76"/>
      <c r="EG123" s="76"/>
      <c r="EH123" s="76"/>
      <c r="EI123" s="76"/>
      <c r="EJ123" s="76"/>
      <c r="EK123" s="76"/>
      <c r="EL123" s="76"/>
      <c r="EM123" s="76"/>
      <c r="EN123" s="76"/>
      <c r="EO123" s="76"/>
      <c r="EP123" s="76"/>
      <c r="EQ123" s="76"/>
      <c r="ER123" s="76"/>
      <c r="ES123" s="76"/>
      <c r="ET123" s="76"/>
      <c r="EU123" s="76"/>
      <c r="EV123" s="76"/>
      <c r="EW123" s="76"/>
      <c r="EX123" s="76"/>
      <c r="EY123" s="76"/>
      <c r="EZ123" s="76"/>
      <c r="FA123" s="76"/>
      <c r="FB123" s="76"/>
      <c r="FC123" s="76"/>
      <c r="FD123" s="76"/>
      <c r="FE123" s="76"/>
      <c r="FF123" s="76"/>
      <c r="FG123" s="76"/>
      <c r="FH123" s="76"/>
      <c r="FI123" s="76"/>
      <c r="FJ123" s="76"/>
      <c r="FK123" s="76"/>
      <c r="FL123" s="76"/>
      <c r="FM123" s="76"/>
      <c r="FN123" s="76"/>
      <c r="FO123" s="76"/>
      <c r="FP123" s="76"/>
      <c r="FQ123" s="76"/>
      <c r="FR123" s="76"/>
      <c r="FS123" s="76"/>
      <c r="FT123" s="76"/>
      <c r="FU123" s="76"/>
      <c r="FV123" s="76"/>
      <c r="FW123" s="76"/>
      <c r="FX123" s="76"/>
      <c r="FY123" s="76"/>
      <c r="FZ123" s="76"/>
      <c r="GA123" s="76"/>
      <c r="GB123" s="76"/>
      <c r="GC123" s="76"/>
      <c r="GD123" s="76"/>
      <c r="GE123" s="76"/>
      <c r="GF123" s="76"/>
      <c r="GG123" s="76"/>
      <c r="GH123" s="76"/>
      <c r="GI123" s="76"/>
      <c r="GJ123" s="76"/>
      <c r="GK123" s="76"/>
      <c r="GL123" s="76"/>
      <c r="GM123" s="76"/>
      <c r="GN123" s="76"/>
      <c r="GO123" s="76"/>
      <c r="GP123" s="76"/>
      <c r="GQ123" s="76"/>
      <c r="GR123" s="76"/>
      <c r="GS123" s="76"/>
      <c r="GT123" s="76"/>
      <c r="GU123" s="76"/>
      <c r="GV123" s="76"/>
      <c r="GW123" s="76"/>
      <c r="GX123" s="76"/>
      <c r="GY123" s="76"/>
      <c r="GZ123" s="76"/>
      <c r="HA123" s="76"/>
      <c r="HB123" s="76"/>
      <c r="HC123" s="76"/>
      <c r="HD123" s="76"/>
      <c r="HE123" s="76"/>
      <c r="HF123" s="76"/>
      <c r="HG123" s="76"/>
      <c r="HH123" s="76"/>
      <c r="HI123" s="76"/>
      <c r="HJ123" s="76"/>
      <c r="HK123" s="76"/>
      <c r="HL123" s="76"/>
      <c r="HM123" s="76"/>
      <c r="HN123" s="76"/>
      <c r="HO123" s="76"/>
      <c r="HP123" s="76"/>
      <c r="HQ123" s="76"/>
      <c r="HR123" s="76"/>
      <c r="HS123" s="76"/>
      <c r="HT123" s="76"/>
      <c r="HU123" s="76"/>
      <c r="HV123" s="76"/>
      <c r="HW123" s="76"/>
      <c r="HX123" s="76"/>
      <c r="HY123" s="76"/>
      <c r="HZ123" s="76"/>
      <c r="IA123" s="76"/>
      <c r="IB123" s="76"/>
      <c r="IC123" s="76"/>
      <c r="ID123" s="76"/>
      <c r="IE123" s="76"/>
      <c r="IF123" s="76"/>
      <c r="IG123" s="76"/>
      <c r="IH123" s="76"/>
      <c r="II123" s="76"/>
      <c r="IJ123" s="76"/>
      <c r="IK123" s="76"/>
      <c r="IL123" s="76"/>
      <c r="IM123" s="76"/>
      <c r="IN123" s="76"/>
      <c r="IO123" s="76"/>
      <c r="IP123" s="76"/>
      <c r="IQ123" s="76"/>
      <c r="IR123" s="76"/>
      <c r="IS123" s="76"/>
      <c r="IT123" s="76"/>
      <c r="IU123" s="76"/>
      <c r="IV123" s="76"/>
    </row>
    <row r="124" spans="1:256" s="34" customFormat="1" ht="16.5" customHeight="1" x14ac:dyDescent="0.2">
      <c r="A124" s="113" t="s">
        <v>571</v>
      </c>
      <c r="B124" s="476">
        <f t="shared" ref="B124:G124" si="20">B98/B97</f>
        <v>0.38143289606458125</v>
      </c>
      <c r="C124" s="476">
        <f t="shared" si="20"/>
        <v>0.3892433910665451</v>
      </c>
      <c r="D124" s="476">
        <f t="shared" si="20"/>
        <v>0.37918552036199094</v>
      </c>
      <c r="E124" s="476">
        <f t="shared" si="20"/>
        <v>0.38280542986425337</v>
      </c>
      <c r="F124" s="476">
        <f t="shared" si="20"/>
        <v>0.39238095238095239</v>
      </c>
      <c r="G124" s="476">
        <f t="shared" si="20"/>
        <v>0.38533333333333336</v>
      </c>
      <c r="H124" s="684"/>
      <c r="I124" s="684"/>
      <c r="J124" s="684"/>
      <c r="K124" s="684"/>
      <c r="L124" s="684"/>
      <c r="M124" s="684"/>
      <c r="N124" s="684"/>
      <c r="O124" s="684"/>
      <c r="P124" s="684"/>
      <c r="Q124" s="684"/>
      <c r="R124" s="684"/>
      <c r="S124" s="684"/>
      <c r="T124" s="684"/>
      <c r="U124" s="684"/>
      <c r="V124" s="684"/>
      <c r="W124" s="684"/>
      <c r="X124" s="684"/>
      <c r="Y124" s="684"/>
      <c r="Z124" s="684"/>
      <c r="AA124" s="194"/>
      <c r="AB124" s="194"/>
      <c r="AC124" s="194"/>
      <c r="AD124" s="194"/>
      <c r="AE124" s="194"/>
      <c r="AF124" s="194"/>
      <c r="AG124" s="194"/>
      <c r="AH124" s="194"/>
      <c r="AI124" s="194"/>
      <c r="AJ124" s="194"/>
      <c r="AK124" s="194"/>
      <c r="AL124" s="194"/>
      <c r="AM124" s="194"/>
      <c r="AN124" s="194"/>
      <c r="AO124" s="194"/>
      <c r="AP124" s="194"/>
      <c r="AQ124" s="194"/>
      <c r="AR124" s="194"/>
      <c r="AS124" s="194"/>
      <c r="AT124" s="194"/>
      <c r="AU124" s="194"/>
      <c r="AV124" s="194"/>
      <c r="AW124" s="194"/>
      <c r="AX124" s="194"/>
      <c r="AY124" s="194"/>
      <c r="AZ124" s="194"/>
      <c r="BA124" s="194"/>
      <c r="BB124" s="194"/>
      <c r="BC124" s="194"/>
      <c r="BD124" s="194"/>
      <c r="BE124" s="194"/>
      <c r="BF124" s="194"/>
      <c r="BG124" s="194"/>
      <c r="BH124" s="194"/>
      <c r="BI124" s="194"/>
      <c r="BJ124" s="194"/>
      <c r="BK124" s="194"/>
      <c r="BL124" s="194"/>
      <c r="BM124" s="194"/>
      <c r="BN124" s="194"/>
      <c r="BO124" s="194"/>
      <c r="BP124" s="194"/>
      <c r="BQ124" s="194"/>
      <c r="BR124" s="194"/>
      <c r="BS124" s="194"/>
      <c r="BT124" s="194"/>
      <c r="BU124" s="194"/>
      <c r="BV124" s="194"/>
      <c r="BW124" s="194"/>
      <c r="BX124" s="194"/>
      <c r="BY124" s="194"/>
      <c r="BZ124" s="194"/>
      <c r="CA124" s="194"/>
      <c r="CB124" s="194"/>
      <c r="CC124" s="194"/>
      <c r="CD124" s="194"/>
      <c r="CE124" s="194"/>
      <c r="CF124" s="194"/>
      <c r="CG124" s="194"/>
      <c r="CH124" s="194"/>
      <c r="CI124" s="194"/>
      <c r="CJ124" s="194"/>
      <c r="CK124" s="194"/>
      <c r="CL124" s="194"/>
      <c r="CM124" s="194"/>
      <c r="CN124" s="194"/>
      <c r="CO124" s="194"/>
      <c r="CP124" s="194"/>
      <c r="CQ124" s="194"/>
      <c r="CR124" s="194"/>
      <c r="CS124" s="194"/>
      <c r="CT124" s="194"/>
      <c r="CU124" s="194"/>
      <c r="CV124" s="194"/>
      <c r="CW124" s="194"/>
      <c r="CX124" s="194"/>
      <c r="CY124" s="194"/>
      <c r="CZ124" s="194"/>
      <c r="DA124" s="194"/>
      <c r="DB124" s="194"/>
      <c r="DC124" s="194"/>
      <c r="DD124" s="194"/>
      <c r="DE124" s="194"/>
      <c r="DF124" s="194"/>
      <c r="DG124" s="194"/>
      <c r="DH124" s="194"/>
      <c r="DI124" s="194"/>
      <c r="DJ124" s="194"/>
      <c r="DK124" s="194"/>
      <c r="DL124" s="194"/>
      <c r="DM124" s="194"/>
      <c r="DN124" s="194"/>
      <c r="DO124" s="194"/>
      <c r="DP124" s="194"/>
      <c r="DQ124" s="194"/>
      <c r="DR124" s="194"/>
      <c r="DS124" s="194"/>
      <c r="DT124" s="194"/>
      <c r="DU124" s="194"/>
      <c r="DV124" s="194"/>
      <c r="DW124" s="194"/>
      <c r="DX124" s="194"/>
      <c r="DY124" s="194"/>
      <c r="DZ124" s="194"/>
      <c r="EA124" s="194"/>
      <c r="EB124" s="194"/>
      <c r="EC124" s="194"/>
      <c r="ED124" s="194"/>
      <c r="EE124" s="194"/>
      <c r="EF124" s="194"/>
      <c r="EG124" s="194"/>
      <c r="EH124" s="194"/>
      <c r="EI124" s="194"/>
      <c r="EJ124" s="194"/>
      <c r="EK124" s="194"/>
      <c r="EL124" s="194"/>
      <c r="EM124" s="194"/>
      <c r="EN124" s="194"/>
      <c r="EO124" s="194"/>
      <c r="EP124" s="194"/>
      <c r="EQ124" s="194"/>
      <c r="ER124" s="194"/>
      <c r="ES124" s="194"/>
      <c r="ET124" s="194"/>
      <c r="EU124" s="194"/>
      <c r="EV124" s="194"/>
      <c r="EW124" s="194"/>
      <c r="EX124" s="194"/>
      <c r="EY124" s="194"/>
      <c r="EZ124" s="194"/>
      <c r="FA124" s="194"/>
      <c r="FB124" s="194"/>
      <c r="FC124" s="194"/>
      <c r="FD124" s="194"/>
      <c r="FE124" s="194"/>
      <c r="FF124" s="194"/>
      <c r="FG124" s="194"/>
      <c r="FH124" s="194"/>
      <c r="FI124" s="194"/>
      <c r="FJ124" s="194"/>
      <c r="FK124" s="194"/>
      <c r="FL124" s="194"/>
      <c r="FM124" s="194"/>
      <c r="FN124" s="194"/>
      <c r="FO124" s="194"/>
      <c r="FP124" s="194"/>
      <c r="FQ124" s="194"/>
      <c r="FR124" s="194"/>
      <c r="FS124" s="194"/>
      <c r="FT124" s="194"/>
      <c r="FU124" s="194"/>
      <c r="FV124" s="194"/>
      <c r="FW124" s="194"/>
      <c r="FX124" s="194"/>
      <c r="FY124" s="194"/>
      <c r="FZ124" s="194"/>
      <c r="GA124" s="194"/>
      <c r="GB124" s="194"/>
      <c r="GC124" s="194"/>
      <c r="GD124" s="194"/>
      <c r="GE124" s="194"/>
      <c r="GF124" s="194"/>
      <c r="GG124" s="194"/>
      <c r="GH124" s="194"/>
      <c r="GI124" s="194"/>
      <c r="GJ124" s="194"/>
      <c r="GK124" s="194"/>
      <c r="GL124" s="194"/>
      <c r="GM124" s="194"/>
      <c r="GN124" s="194"/>
      <c r="GO124" s="194"/>
      <c r="GP124" s="194"/>
      <c r="GQ124" s="194"/>
      <c r="GR124" s="194"/>
      <c r="GS124" s="194"/>
      <c r="GT124" s="194"/>
      <c r="GU124" s="194"/>
      <c r="GV124" s="194"/>
      <c r="GW124" s="194"/>
      <c r="GX124" s="194"/>
      <c r="GY124" s="194"/>
      <c r="GZ124" s="194"/>
      <c r="HA124" s="194"/>
      <c r="HB124" s="194"/>
      <c r="HC124" s="194"/>
      <c r="HD124" s="194"/>
      <c r="HE124" s="194"/>
      <c r="HF124" s="194"/>
      <c r="HG124" s="194"/>
      <c r="HH124" s="194"/>
      <c r="HI124" s="194"/>
      <c r="HJ124" s="194"/>
      <c r="HK124" s="194"/>
      <c r="HL124" s="194"/>
      <c r="HM124" s="194"/>
      <c r="HN124" s="194"/>
      <c r="HO124" s="194"/>
      <c r="HP124" s="194"/>
      <c r="HQ124" s="194"/>
      <c r="HR124" s="194"/>
      <c r="HS124" s="194"/>
      <c r="HT124" s="194"/>
      <c r="HU124" s="194"/>
      <c r="HV124" s="194"/>
      <c r="HW124" s="194"/>
      <c r="HX124" s="194"/>
      <c r="HY124" s="194"/>
      <c r="HZ124" s="194"/>
      <c r="IA124" s="194"/>
      <c r="IB124" s="194"/>
      <c r="IC124" s="194"/>
      <c r="ID124" s="194"/>
      <c r="IE124" s="194"/>
      <c r="IF124" s="194"/>
      <c r="IG124" s="194"/>
      <c r="IH124" s="194"/>
      <c r="II124" s="194"/>
      <c r="IJ124" s="194"/>
      <c r="IK124" s="194"/>
      <c r="IL124" s="194"/>
      <c r="IM124" s="194"/>
      <c r="IN124" s="194"/>
      <c r="IO124" s="194"/>
      <c r="IP124" s="194"/>
      <c r="IQ124" s="194"/>
      <c r="IR124" s="194"/>
      <c r="IS124" s="194"/>
      <c r="IT124" s="194"/>
      <c r="IU124" s="194"/>
      <c r="IV124" s="194"/>
    </row>
    <row r="125" spans="1:256" s="515" customFormat="1" ht="16.5" customHeight="1" x14ac:dyDescent="0.2">
      <c r="A125" s="121" t="s">
        <v>558</v>
      </c>
      <c r="B125" s="49">
        <f t="shared" ref="B125:G125" si="21">B123*(1-B124)</f>
        <v>78.558022199798188</v>
      </c>
      <c r="C125" s="49">
        <f t="shared" si="21"/>
        <v>109.93618960802188</v>
      </c>
      <c r="D125" s="49">
        <f t="shared" si="21"/>
        <v>129.75022624434391</v>
      </c>
      <c r="E125" s="49">
        <f t="shared" si="21"/>
        <v>146.8923076923077</v>
      </c>
      <c r="F125" s="49">
        <f t="shared" si="21"/>
        <v>140.96761904761905</v>
      </c>
      <c r="G125" s="49">
        <f t="shared" si="21"/>
        <v>147.52000000000001</v>
      </c>
      <c r="H125" s="1064"/>
      <c r="I125" s="714"/>
      <c r="J125" s="714"/>
      <c r="K125" s="714"/>
      <c r="L125" s="714"/>
      <c r="M125" s="714"/>
      <c r="N125" s="714"/>
      <c r="O125" s="714"/>
      <c r="P125" s="714"/>
      <c r="Q125" s="714"/>
      <c r="R125" s="714"/>
      <c r="S125" s="714"/>
      <c r="T125" s="714"/>
      <c r="U125" s="714"/>
      <c r="V125" s="714"/>
      <c r="W125" s="714"/>
      <c r="X125" s="714"/>
      <c r="Y125" s="714"/>
      <c r="Z125" s="714"/>
      <c r="AA125" s="196"/>
      <c r="AB125" s="196"/>
      <c r="AC125" s="196"/>
      <c r="AD125" s="196"/>
      <c r="AE125" s="196"/>
      <c r="AF125" s="196"/>
      <c r="AG125" s="196"/>
      <c r="AH125" s="196"/>
      <c r="AI125" s="196"/>
      <c r="AJ125" s="196"/>
      <c r="AK125" s="196"/>
      <c r="AL125" s="196"/>
      <c r="AM125" s="196"/>
      <c r="AN125" s="196"/>
      <c r="AO125" s="196"/>
      <c r="AP125" s="196"/>
      <c r="AQ125" s="196"/>
      <c r="AR125" s="196"/>
      <c r="AS125" s="196"/>
      <c r="AT125" s="196"/>
      <c r="AU125" s="196"/>
      <c r="AV125" s="196"/>
      <c r="AW125" s="196"/>
      <c r="AX125" s="196"/>
      <c r="AY125" s="196"/>
      <c r="AZ125" s="196"/>
      <c r="BA125" s="196"/>
      <c r="BB125" s="196"/>
      <c r="BC125" s="196"/>
      <c r="BD125" s="196"/>
      <c r="BE125" s="196"/>
      <c r="BF125" s="196"/>
      <c r="BG125" s="196"/>
      <c r="BH125" s="196"/>
      <c r="BI125" s="196"/>
      <c r="BJ125" s="196"/>
      <c r="BK125" s="196"/>
      <c r="BL125" s="196"/>
      <c r="BM125" s="196"/>
      <c r="BN125" s="196"/>
      <c r="BO125" s="196"/>
      <c r="BP125" s="196"/>
      <c r="BQ125" s="196"/>
      <c r="BR125" s="196"/>
      <c r="BS125" s="196"/>
      <c r="BT125" s="196"/>
      <c r="BU125" s="196"/>
      <c r="BV125" s="196"/>
      <c r="BW125" s="196"/>
      <c r="BX125" s="196"/>
      <c r="BY125" s="196"/>
      <c r="BZ125" s="196"/>
      <c r="CA125" s="196"/>
      <c r="CB125" s="196"/>
      <c r="CC125" s="196"/>
      <c r="CD125" s="196"/>
      <c r="CE125" s="196"/>
      <c r="CF125" s="196"/>
      <c r="CG125" s="196"/>
      <c r="CH125" s="196"/>
      <c r="CI125" s="196"/>
      <c r="CJ125" s="196"/>
      <c r="CK125" s="196"/>
      <c r="CL125" s="196"/>
      <c r="CM125" s="196"/>
      <c r="CN125" s="196"/>
      <c r="CO125" s="196"/>
      <c r="CP125" s="196"/>
      <c r="CQ125" s="196"/>
      <c r="CR125" s="196"/>
      <c r="CS125" s="196"/>
      <c r="CT125" s="196"/>
      <c r="CU125" s="196"/>
      <c r="CV125" s="196"/>
      <c r="CW125" s="196"/>
      <c r="CX125" s="196"/>
      <c r="CY125" s="196"/>
      <c r="CZ125" s="196"/>
      <c r="DA125" s="196"/>
      <c r="DB125" s="196"/>
      <c r="DC125" s="196"/>
      <c r="DD125" s="196"/>
      <c r="DE125" s="196"/>
      <c r="DF125" s="196"/>
      <c r="DG125" s="196"/>
      <c r="DH125" s="196"/>
      <c r="DI125" s="196"/>
      <c r="DJ125" s="196"/>
      <c r="DK125" s="196"/>
      <c r="DL125" s="196"/>
      <c r="DM125" s="196"/>
      <c r="DN125" s="196"/>
      <c r="DO125" s="196"/>
      <c r="DP125" s="196"/>
      <c r="DQ125" s="196"/>
      <c r="DR125" s="196"/>
      <c r="DS125" s="196"/>
      <c r="DT125" s="196"/>
      <c r="DU125" s="196"/>
      <c r="DV125" s="196"/>
      <c r="DW125" s="196"/>
      <c r="DX125" s="196"/>
      <c r="DY125" s="196"/>
      <c r="DZ125" s="196"/>
      <c r="EA125" s="196"/>
      <c r="EB125" s="196"/>
      <c r="EC125" s="196"/>
      <c r="ED125" s="196"/>
      <c r="EE125" s="196"/>
      <c r="EF125" s="196"/>
      <c r="EG125" s="196"/>
      <c r="EH125" s="196"/>
      <c r="EI125" s="196"/>
      <c r="EJ125" s="196"/>
      <c r="EK125" s="196"/>
      <c r="EL125" s="196"/>
      <c r="EM125" s="196"/>
      <c r="EN125" s="196"/>
      <c r="EO125" s="196"/>
      <c r="EP125" s="196"/>
      <c r="EQ125" s="196"/>
      <c r="ER125" s="196"/>
      <c r="ES125" s="196"/>
      <c r="ET125" s="196"/>
      <c r="EU125" s="196"/>
      <c r="EV125" s="196"/>
      <c r="EW125" s="196"/>
      <c r="EX125" s="196"/>
      <c r="EY125" s="196"/>
      <c r="EZ125" s="196"/>
      <c r="FA125" s="196"/>
      <c r="FB125" s="196"/>
      <c r="FC125" s="196"/>
      <c r="FD125" s="196"/>
      <c r="FE125" s="196"/>
      <c r="FF125" s="196"/>
      <c r="FG125" s="196"/>
      <c r="FH125" s="196"/>
      <c r="FI125" s="196"/>
      <c r="FJ125" s="196"/>
      <c r="FK125" s="196"/>
      <c r="FL125" s="196"/>
      <c r="FM125" s="196"/>
      <c r="FN125" s="196"/>
      <c r="FO125" s="196"/>
      <c r="FP125" s="196"/>
      <c r="FQ125" s="196"/>
      <c r="FR125" s="196"/>
      <c r="FS125" s="196"/>
      <c r="FT125" s="196"/>
      <c r="FU125" s="196"/>
      <c r="FV125" s="196"/>
      <c r="FW125" s="196"/>
      <c r="FX125" s="196"/>
      <c r="FY125" s="196"/>
      <c r="FZ125" s="196"/>
      <c r="GA125" s="196"/>
      <c r="GB125" s="196"/>
      <c r="GC125" s="196"/>
      <c r="GD125" s="196"/>
      <c r="GE125" s="196"/>
      <c r="GF125" s="196"/>
      <c r="GG125" s="196"/>
      <c r="GH125" s="196"/>
      <c r="GI125" s="196"/>
      <c r="GJ125" s="196"/>
      <c r="GK125" s="196"/>
      <c r="GL125" s="196"/>
      <c r="GM125" s="196"/>
      <c r="GN125" s="196"/>
      <c r="GO125" s="196"/>
      <c r="GP125" s="196"/>
      <c r="GQ125" s="196"/>
      <c r="GR125" s="196"/>
      <c r="GS125" s="196"/>
      <c r="GT125" s="196"/>
      <c r="GU125" s="196"/>
      <c r="GV125" s="196"/>
      <c r="GW125" s="196"/>
      <c r="GX125" s="196"/>
      <c r="GY125" s="196"/>
      <c r="GZ125" s="196"/>
      <c r="HA125" s="196"/>
      <c r="HB125" s="196"/>
      <c r="HC125" s="196"/>
      <c r="HD125" s="196"/>
      <c r="HE125" s="196"/>
      <c r="HF125" s="196"/>
      <c r="HG125" s="196"/>
      <c r="HH125" s="196"/>
      <c r="HI125" s="196"/>
      <c r="HJ125" s="196"/>
      <c r="HK125" s="196"/>
      <c r="HL125" s="196"/>
      <c r="HM125" s="196"/>
      <c r="HN125" s="196"/>
      <c r="HO125" s="196"/>
      <c r="HP125" s="196"/>
      <c r="HQ125" s="196"/>
      <c r="HR125" s="196"/>
      <c r="HS125" s="196"/>
      <c r="HT125" s="196"/>
      <c r="HU125" s="196"/>
      <c r="HV125" s="196"/>
      <c r="HW125" s="196"/>
      <c r="HX125" s="196"/>
      <c r="HY125" s="196"/>
      <c r="HZ125" s="196"/>
      <c r="IA125" s="196"/>
      <c r="IB125" s="196"/>
      <c r="IC125" s="196"/>
      <c r="ID125" s="196"/>
      <c r="IE125" s="196"/>
      <c r="IF125" s="196"/>
      <c r="IG125" s="196"/>
      <c r="IH125" s="196"/>
      <c r="II125" s="196"/>
      <c r="IJ125" s="196"/>
      <c r="IK125" s="196"/>
      <c r="IL125" s="196"/>
      <c r="IM125" s="196"/>
      <c r="IN125" s="196"/>
      <c r="IO125" s="196"/>
      <c r="IP125" s="196"/>
      <c r="IQ125" s="196"/>
      <c r="IR125" s="196"/>
      <c r="IS125" s="196"/>
      <c r="IT125" s="196"/>
      <c r="IU125" s="196"/>
      <c r="IV125" s="196"/>
    </row>
    <row r="126" spans="1:256" s="473" customFormat="1" ht="16.5" customHeight="1" x14ac:dyDescent="0.2">
      <c r="A126" s="34" t="s">
        <v>630</v>
      </c>
      <c r="B126" s="516" t="str">
        <f>'Financial Ratios'!B71</f>
        <v>NA</v>
      </c>
      <c r="C126" s="20">
        <f>'Financial Ratios'!C71</f>
        <v>0</v>
      </c>
      <c r="D126" s="20">
        <f>'Financial Ratios'!D71</f>
        <v>0</v>
      </c>
      <c r="E126" s="20">
        <f>'Financial Ratios'!E71</f>
        <v>0</v>
      </c>
      <c r="F126" s="20">
        <f>'Financial Ratios'!F71</f>
        <v>0</v>
      </c>
      <c r="G126" s="20">
        <f>'Financial Ratios'!G71</f>
        <v>0</v>
      </c>
      <c r="H126" s="1065"/>
      <c r="I126" s="684"/>
      <c r="J126" s="684"/>
      <c r="K126" s="684"/>
      <c r="L126" s="684"/>
      <c r="M126" s="684"/>
      <c r="N126" s="684"/>
      <c r="O126" s="684"/>
      <c r="P126" s="684"/>
      <c r="Q126" s="684"/>
      <c r="R126" s="684"/>
      <c r="S126" s="684"/>
      <c r="T126" s="684"/>
      <c r="U126" s="684"/>
      <c r="V126" s="684"/>
      <c r="W126" s="684"/>
      <c r="X126" s="684"/>
      <c r="Y126" s="684"/>
      <c r="Z126" s="684"/>
      <c r="AA126" s="194"/>
      <c r="AB126" s="194"/>
      <c r="AC126" s="194"/>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194"/>
      <c r="BD126" s="194"/>
      <c r="BE126" s="194"/>
      <c r="BF126" s="194"/>
      <c r="BG126" s="194"/>
      <c r="BH126" s="194"/>
      <c r="BI126" s="194"/>
      <c r="BJ126" s="194"/>
      <c r="BK126" s="194"/>
      <c r="BL126" s="194"/>
      <c r="BM126" s="194"/>
      <c r="BN126" s="194"/>
      <c r="BO126" s="194"/>
      <c r="BP126" s="194"/>
      <c r="BQ126" s="194"/>
      <c r="BR126" s="194"/>
      <c r="BS126" s="194"/>
      <c r="BT126" s="194"/>
      <c r="BU126" s="194"/>
      <c r="BV126" s="194"/>
      <c r="BW126" s="194"/>
      <c r="BX126" s="194"/>
      <c r="BY126" s="194"/>
      <c r="BZ126" s="194"/>
      <c r="CA126" s="194"/>
      <c r="CB126" s="194"/>
      <c r="CC126" s="194"/>
      <c r="CD126" s="194"/>
      <c r="CE126" s="194"/>
      <c r="CF126" s="194"/>
      <c r="CG126" s="194"/>
      <c r="CH126" s="194"/>
      <c r="CI126" s="194"/>
      <c r="CJ126" s="194"/>
      <c r="CK126" s="194"/>
      <c r="CL126" s="194"/>
      <c r="CM126" s="194"/>
      <c r="CN126" s="194"/>
      <c r="CO126" s="194"/>
      <c r="CP126" s="194"/>
      <c r="CQ126" s="194"/>
      <c r="CR126" s="194"/>
      <c r="CS126" s="194"/>
      <c r="CT126" s="194"/>
      <c r="CU126" s="194"/>
      <c r="CV126" s="194"/>
      <c r="CW126" s="194"/>
      <c r="CX126" s="194"/>
      <c r="CY126" s="194"/>
      <c r="CZ126" s="194"/>
      <c r="DA126" s="194"/>
      <c r="DB126" s="194"/>
      <c r="DC126" s="194"/>
      <c r="DD126" s="194"/>
      <c r="DE126" s="194"/>
      <c r="DF126" s="194"/>
      <c r="DG126" s="194"/>
      <c r="DH126" s="194"/>
      <c r="DI126" s="194"/>
      <c r="DJ126" s="194"/>
      <c r="DK126" s="194"/>
      <c r="DL126" s="194"/>
      <c r="DM126" s="194"/>
      <c r="DN126" s="194"/>
      <c r="DO126" s="194"/>
      <c r="DP126" s="194"/>
      <c r="DQ126" s="194"/>
      <c r="DR126" s="194"/>
      <c r="DS126" s="194"/>
      <c r="DT126" s="194"/>
      <c r="DU126" s="194"/>
      <c r="DV126" s="194"/>
      <c r="DW126" s="194"/>
      <c r="DX126" s="194"/>
      <c r="DY126" s="194"/>
      <c r="DZ126" s="194"/>
      <c r="EA126" s="194"/>
      <c r="EB126" s="194"/>
      <c r="EC126" s="194"/>
      <c r="ED126" s="194"/>
      <c r="EE126" s="194"/>
      <c r="EF126" s="194"/>
      <c r="EG126" s="194"/>
      <c r="EH126" s="194"/>
      <c r="EI126" s="194"/>
      <c r="EJ126" s="194"/>
      <c r="EK126" s="194"/>
      <c r="EL126" s="194"/>
      <c r="EM126" s="194"/>
      <c r="EN126" s="194"/>
      <c r="EO126" s="194"/>
      <c r="EP126" s="194"/>
      <c r="EQ126" s="194"/>
      <c r="ER126" s="194"/>
      <c r="ES126" s="194"/>
      <c r="ET126" s="194"/>
      <c r="EU126" s="194"/>
      <c r="EV126" s="194"/>
      <c r="EW126" s="194"/>
      <c r="EX126" s="194"/>
      <c r="EY126" s="194"/>
      <c r="EZ126" s="194"/>
      <c r="FA126" s="194"/>
      <c r="FB126" s="194"/>
      <c r="FC126" s="194"/>
      <c r="FD126" s="194"/>
      <c r="FE126" s="194"/>
      <c r="FF126" s="194"/>
      <c r="FG126" s="194"/>
      <c r="FH126" s="194"/>
      <c r="FI126" s="194"/>
      <c r="FJ126" s="194"/>
      <c r="FK126" s="194"/>
      <c r="FL126" s="194"/>
      <c r="FM126" s="194"/>
      <c r="FN126" s="194"/>
      <c r="FO126" s="194"/>
      <c r="FP126" s="194"/>
      <c r="FQ126" s="194"/>
      <c r="FR126" s="194"/>
      <c r="FS126" s="194"/>
      <c r="FT126" s="194"/>
      <c r="FU126" s="194"/>
      <c r="FV126" s="194"/>
      <c r="FW126" s="194"/>
      <c r="FX126" s="194"/>
      <c r="FY126" s="194"/>
      <c r="FZ126" s="194"/>
      <c r="GA126" s="194"/>
      <c r="GB126" s="194"/>
      <c r="GC126" s="194"/>
      <c r="GD126" s="194"/>
      <c r="GE126" s="194"/>
      <c r="GF126" s="194"/>
      <c r="GG126" s="194"/>
      <c r="GH126" s="194"/>
      <c r="GI126" s="194"/>
      <c r="GJ126" s="194"/>
      <c r="GK126" s="194"/>
      <c r="GL126" s="194"/>
      <c r="GM126" s="194"/>
      <c r="GN126" s="194"/>
      <c r="GO126" s="194"/>
      <c r="GP126" s="194"/>
      <c r="GQ126" s="194"/>
      <c r="GR126" s="194"/>
      <c r="GS126" s="194"/>
      <c r="GT126" s="194"/>
      <c r="GU126" s="194"/>
      <c r="GV126" s="194"/>
      <c r="GW126" s="194"/>
      <c r="GX126" s="194"/>
      <c r="GY126" s="194"/>
      <c r="GZ126" s="194"/>
      <c r="HA126" s="194"/>
      <c r="HB126" s="194"/>
      <c r="HC126" s="194"/>
      <c r="HD126" s="194"/>
      <c r="HE126" s="194"/>
      <c r="HF126" s="194"/>
      <c r="HG126" s="194"/>
      <c r="HH126" s="194"/>
      <c r="HI126" s="194"/>
      <c r="HJ126" s="194"/>
      <c r="HK126" s="194"/>
      <c r="HL126" s="194"/>
      <c r="HM126" s="194"/>
      <c r="HN126" s="194"/>
      <c r="HO126" s="194"/>
      <c r="HP126" s="194"/>
      <c r="HQ126" s="194"/>
      <c r="HR126" s="194"/>
      <c r="HS126" s="194"/>
      <c r="HT126" s="194"/>
      <c r="HU126" s="194"/>
      <c r="HV126" s="194"/>
      <c r="HW126" s="194"/>
      <c r="HX126" s="194"/>
      <c r="HY126" s="194"/>
      <c r="HZ126" s="194"/>
      <c r="IA126" s="194"/>
      <c r="IB126" s="194"/>
      <c r="IC126" s="194"/>
      <c r="ID126" s="194"/>
      <c r="IE126" s="194"/>
      <c r="IF126" s="194"/>
      <c r="IG126" s="194"/>
      <c r="IH126" s="194"/>
      <c r="II126" s="194"/>
      <c r="IJ126" s="194"/>
      <c r="IK126" s="194"/>
      <c r="IL126" s="194"/>
      <c r="IM126" s="194"/>
      <c r="IN126" s="194"/>
      <c r="IO126" s="194"/>
      <c r="IP126" s="194"/>
      <c r="IQ126" s="194"/>
      <c r="IR126" s="194"/>
      <c r="IS126" s="194"/>
      <c r="IT126" s="194"/>
      <c r="IU126" s="194"/>
      <c r="IV126" s="194"/>
    </row>
    <row r="127" spans="1:256" s="477" customFormat="1" ht="16.5" customHeight="1" thickBot="1" x14ac:dyDescent="0.25">
      <c r="A127" s="37" t="s">
        <v>88</v>
      </c>
      <c r="B127" s="517" t="s">
        <v>47</v>
      </c>
      <c r="C127" s="17">
        <f>SUM(C125:C126)</f>
        <v>109.93618960802188</v>
      </c>
      <c r="D127" s="17">
        <f>SUM(D125:D126)</f>
        <v>129.75022624434391</v>
      </c>
      <c r="E127" s="17">
        <f>SUM(E125:E126)</f>
        <v>146.8923076923077</v>
      </c>
      <c r="F127" s="17">
        <f>SUM(F125:F126)</f>
        <v>140.96761904761905</v>
      </c>
      <c r="G127" s="17">
        <f>SUM(G125:G126)</f>
        <v>147.52000000000001</v>
      </c>
      <c r="H127" s="1066"/>
      <c r="I127" s="687"/>
      <c r="J127" s="687"/>
      <c r="K127" s="687"/>
      <c r="L127" s="687"/>
      <c r="M127" s="687"/>
      <c r="N127" s="687"/>
      <c r="O127" s="687"/>
      <c r="P127" s="687"/>
      <c r="Q127" s="687"/>
      <c r="R127" s="687"/>
      <c r="S127" s="687"/>
      <c r="T127" s="687"/>
      <c r="U127" s="687"/>
      <c r="V127" s="687"/>
      <c r="W127" s="687"/>
      <c r="X127" s="687"/>
      <c r="Y127" s="687"/>
      <c r="Z127" s="687"/>
      <c r="AA127" s="198"/>
      <c r="AB127" s="198"/>
      <c r="AC127" s="198"/>
      <c r="AD127" s="198"/>
      <c r="AE127" s="198"/>
      <c r="AF127" s="198"/>
      <c r="AG127" s="198"/>
      <c r="AH127" s="198"/>
      <c r="AI127" s="198"/>
      <c r="AJ127" s="198"/>
      <c r="AK127" s="198"/>
      <c r="AL127" s="198"/>
      <c r="AM127" s="198"/>
      <c r="AN127" s="198"/>
      <c r="AO127" s="198"/>
      <c r="AP127" s="198"/>
      <c r="AQ127" s="198"/>
      <c r="AR127" s="198"/>
      <c r="AS127" s="198"/>
      <c r="AT127" s="198"/>
      <c r="AU127" s="198"/>
      <c r="AV127" s="198"/>
      <c r="AW127" s="198"/>
      <c r="AX127" s="198"/>
      <c r="AY127" s="198"/>
      <c r="AZ127" s="198"/>
      <c r="BA127" s="198"/>
      <c r="BB127" s="198"/>
      <c r="BC127" s="198"/>
      <c r="BD127" s="198"/>
      <c r="BE127" s="198"/>
      <c r="BF127" s="198"/>
      <c r="BG127" s="198"/>
      <c r="BH127" s="198"/>
      <c r="BI127" s="198"/>
      <c r="BJ127" s="198"/>
      <c r="BK127" s="198"/>
      <c r="BL127" s="198"/>
      <c r="BM127" s="198"/>
      <c r="BN127" s="198"/>
      <c r="BO127" s="198"/>
      <c r="BP127" s="198"/>
      <c r="BQ127" s="198"/>
      <c r="BR127" s="198"/>
      <c r="BS127" s="198"/>
      <c r="BT127" s="198"/>
      <c r="BU127" s="198"/>
      <c r="BV127" s="198"/>
      <c r="BW127" s="198"/>
      <c r="BX127" s="198"/>
      <c r="BY127" s="198"/>
      <c r="BZ127" s="198"/>
      <c r="CA127" s="198"/>
      <c r="CB127" s="198"/>
      <c r="CC127" s="198"/>
      <c r="CD127" s="198"/>
      <c r="CE127" s="198"/>
      <c r="CF127" s="198"/>
      <c r="CG127" s="198"/>
      <c r="CH127" s="198"/>
      <c r="CI127" s="198"/>
      <c r="CJ127" s="198"/>
      <c r="CK127" s="198"/>
      <c r="CL127" s="198"/>
      <c r="CM127" s="198"/>
      <c r="CN127" s="198"/>
      <c r="CO127" s="198"/>
      <c r="CP127" s="198"/>
      <c r="CQ127" s="198"/>
      <c r="CR127" s="198"/>
      <c r="CS127" s="198"/>
      <c r="CT127" s="198"/>
      <c r="CU127" s="198"/>
      <c r="CV127" s="198"/>
      <c r="CW127" s="198"/>
      <c r="CX127" s="198"/>
      <c r="CY127" s="198"/>
      <c r="CZ127" s="198"/>
      <c r="DA127" s="198"/>
      <c r="DB127" s="198"/>
      <c r="DC127" s="198"/>
      <c r="DD127" s="198"/>
      <c r="DE127" s="198"/>
      <c r="DF127" s="198"/>
      <c r="DG127" s="198"/>
      <c r="DH127" s="198"/>
      <c r="DI127" s="198"/>
      <c r="DJ127" s="198"/>
      <c r="DK127" s="198"/>
      <c r="DL127" s="198"/>
      <c r="DM127" s="198"/>
      <c r="DN127" s="198"/>
      <c r="DO127" s="198"/>
      <c r="DP127" s="198"/>
      <c r="DQ127" s="198"/>
      <c r="DR127" s="198"/>
      <c r="DS127" s="198"/>
      <c r="DT127" s="198"/>
      <c r="DU127" s="198"/>
      <c r="DV127" s="198"/>
      <c r="DW127" s="198"/>
      <c r="DX127" s="198"/>
      <c r="DY127" s="198"/>
      <c r="DZ127" s="198"/>
      <c r="EA127" s="198"/>
      <c r="EB127" s="198"/>
      <c r="EC127" s="198"/>
      <c r="ED127" s="198"/>
      <c r="EE127" s="198"/>
      <c r="EF127" s="198"/>
      <c r="EG127" s="198"/>
      <c r="EH127" s="198"/>
      <c r="EI127" s="198"/>
      <c r="EJ127" s="198"/>
      <c r="EK127" s="198"/>
      <c r="EL127" s="198"/>
      <c r="EM127" s="198"/>
      <c r="EN127" s="198"/>
      <c r="EO127" s="198"/>
      <c r="EP127" s="198"/>
      <c r="EQ127" s="198"/>
      <c r="ER127" s="198"/>
      <c r="ES127" s="198"/>
      <c r="ET127" s="198"/>
      <c r="EU127" s="198"/>
      <c r="EV127" s="198"/>
      <c r="EW127" s="198"/>
      <c r="EX127" s="198"/>
      <c r="EY127" s="198"/>
      <c r="EZ127" s="198"/>
      <c r="FA127" s="198"/>
      <c r="FB127" s="198"/>
      <c r="FC127" s="198"/>
      <c r="FD127" s="198"/>
      <c r="FE127" s="198"/>
      <c r="FF127" s="198"/>
      <c r="FG127" s="198"/>
      <c r="FH127" s="198"/>
      <c r="FI127" s="198"/>
      <c r="FJ127" s="198"/>
      <c r="FK127" s="198"/>
      <c r="FL127" s="198"/>
      <c r="FM127" s="198"/>
      <c r="FN127" s="198"/>
      <c r="FO127" s="198"/>
      <c r="FP127" s="198"/>
      <c r="FQ127" s="198"/>
      <c r="FR127" s="198"/>
      <c r="FS127" s="198"/>
      <c r="FT127" s="198"/>
      <c r="FU127" s="198"/>
      <c r="FV127" s="198"/>
      <c r="FW127" s="198"/>
      <c r="FX127" s="198"/>
      <c r="FY127" s="198"/>
      <c r="FZ127" s="198"/>
      <c r="GA127" s="198"/>
      <c r="GB127" s="198"/>
      <c r="GC127" s="198"/>
      <c r="GD127" s="198"/>
      <c r="GE127" s="198"/>
      <c r="GF127" s="198"/>
      <c r="GG127" s="198"/>
      <c r="GH127" s="198"/>
      <c r="GI127" s="198"/>
      <c r="GJ127" s="198"/>
      <c r="GK127" s="198"/>
      <c r="GL127" s="198"/>
      <c r="GM127" s="198"/>
      <c r="GN127" s="198"/>
      <c r="GO127" s="198"/>
      <c r="GP127" s="198"/>
      <c r="GQ127" s="198"/>
      <c r="GR127" s="198"/>
      <c r="GS127" s="198"/>
      <c r="GT127" s="198"/>
      <c r="GU127" s="198"/>
      <c r="GV127" s="198"/>
      <c r="GW127" s="198"/>
      <c r="GX127" s="198"/>
      <c r="GY127" s="198"/>
      <c r="GZ127" s="198"/>
      <c r="HA127" s="198"/>
      <c r="HB127" s="198"/>
      <c r="HC127" s="198"/>
      <c r="HD127" s="198"/>
      <c r="HE127" s="198"/>
      <c r="HF127" s="198"/>
      <c r="HG127" s="198"/>
      <c r="HH127" s="198"/>
      <c r="HI127" s="198"/>
      <c r="HJ127" s="198"/>
      <c r="HK127" s="198"/>
      <c r="HL127" s="198"/>
      <c r="HM127" s="198"/>
      <c r="HN127" s="198"/>
      <c r="HO127" s="198"/>
      <c r="HP127" s="198"/>
      <c r="HQ127" s="198"/>
      <c r="HR127" s="198"/>
      <c r="HS127" s="198"/>
      <c r="HT127" s="198"/>
      <c r="HU127" s="198"/>
      <c r="HV127" s="198"/>
      <c r="HW127" s="198"/>
      <c r="HX127" s="198"/>
      <c r="HY127" s="198"/>
      <c r="HZ127" s="198"/>
      <c r="IA127" s="198"/>
      <c r="IB127" s="198"/>
      <c r="IC127" s="198"/>
      <c r="ID127" s="198"/>
      <c r="IE127" s="198"/>
      <c r="IF127" s="198"/>
      <c r="IG127" s="198"/>
      <c r="IH127" s="198"/>
      <c r="II127" s="198"/>
      <c r="IJ127" s="198"/>
      <c r="IK127" s="198"/>
      <c r="IL127" s="198"/>
      <c r="IM127" s="198"/>
      <c r="IN127" s="198"/>
      <c r="IO127" s="198"/>
      <c r="IP127" s="198"/>
      <c r="IQ127" s="198"/>
      <c r="IR127" s="198"/>
      <c r="IS127" s="198"/>
      <c r="IT127" s="198"/>
      <c r="IU127" s="198"/>
      <c r="IV127" s="198"/>
    </row>
    <row r="128" spans="1:256" s="219" customFormat="1" ht="16.5" customHeight="1" x14ac:dyDescent="0.2">
      <c r="A128" s="82"/>
      <c r="B128" s="82"/>
      <c r="C128" s="82"/>
      <c r="D128" s="82"/>
      <c r="E128" s="82"/>
      <c r="F128" s="82"/>
      <c r="G128" s="82"/>
      <c r="H128" s="1008"/>
      <c r="I128" s="1169"/>
      <c r="J128" s="1169"/>
      <c r="K128" s="1169"/>
      <c r="L128" s="1169"/>
      <c r="M128" s="1169"/>
      <c r="N128" s="1169"/>
      <c r="O128" s="1169"/>
      <c r="P128" s="1169"/>
      <c r="Q128" s="1169"/>
      <c r="R128" s="1169"/>
      <c r="S128" s="1169"/>
      <c r="T128" s="1169"/>
      <c r="U128" s="1169"/>
      <c r="V128" s="1169"/>
      <c r="W128" s="1169"/>
      <c r="X128" s="1169"/>
      <c r="Y128" s="1169"/>
      <c r="Z128" s="1169"/>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82"/>
      <c r="CR128" s="82"/>
      <c r="CS128" s="82"/>
      <c r="CT128" s="82"/>
      <c r="CU128" s="82"/>
      <c r="CV128" s="82"/>
      <c r="CW128" s="82"/>
      <c r="CX128" s="82"/>
      <c r="CY128" s="82"/>
      <c r="CZ128" s="82"/>
      <c r="DA128" s="82"/>
      <c r="DB128" s="82"/>
      <c r="DC128" s="82"/>
      <c r="DD128" s="82"/>
      <c r="DE128" s="82"/>
      <c r="DF128" s="82"/>
      <c r="DG128" s="82"/>
      <c r="DH128" s="82"/>
      <c r="DI128" s="82"/>
      <c r="DJ128" s="82"/>
      <c r="DK128" s="82"/>
      <c r="DL128" s="82"/>
      <c r="DM128" s="82"/>
      <c r="DN128" s="82"/>
      <c r="DO128" s="82"/>
      <c r="DP128" s="82"/>
      <c r="DQ128" s="82"/>
      <c r="DR128" s="82"/>
      <c r="DS128" s="82"/>
      <c r="DT128" s="82"/>
      <c r="DU128" s="82"/>
      <c r="DV128" s="82"/>
      <c r="DW128" s="82"/>
      <c r="DX128" s="82"/>
      <c r="DY128" s="82"/>
      <c r="DZ128" s="82"/>
      <c r="EA128" s="82"/>
      <c r="EB128" s="82"/>
      <c r="EC128" s="82"/>
      <c r="ED128" s="82"/>
      <c r="EE128" s="82"/>
      <c r="EF128" s="82"/>
      <c r="EG128" s="82"/>
      <c r="EH128" s="82"/>
      <c r="EI128" s="82"/>
      <c r="EJ128" s="82"/>
      <c r="EK128" s="82"/>
      <c r="EL128" s="82"/>
      <c r="EM128" s="82"/>
      <c r="EN128" s="82"/>
      <c r="EO128" s="82"/>
      <c r="EP128" s="82"/>
      <c r="EQ128" s="82"/>
      <c r="ER128" s="82"/>
      <c r="ES128" s="82"/>
      <c r="ET128" s="82"/>
      <c r="EU128" s="82"/>
      <c r="EV128" s="82"/>
      <c r="EW128" s="82"/>
      <c r="EX128" s="82"/>
      <c r="EY128" s="82"/>
      <c r="EZ128" s="82"/>
      <c r="FA128" s="82"/>
      <c r="FB128" s="82"/>
      <c r="FC128" s="82"/>
      <c r="FD128" s="82"/>
      <c r="FE128" s="82"/>
      <c r="FF128" s="82"/>
      <c r="FG128" s="82"/>
      <c r="FH128" s="82"/>
      <c r="FI128" s="82"/>
      <c r="FJ128" s="82"/>
      <c r="FK128" s="82"/>
      <c r="FL128" s="82"/>
      <c r="FM128" s="82"/>
      <c r="FN128" s="82"/>
      <c r="FO128" s="82"/>
      <c r="FP128" s="82"/>
      <c r="FQ128" s="82"/>
      <c r="FR128" s="82"/>
      <c r="FS128" s="82"/>
      <c r="FT128" s="82"/>
      <c r="FU128" s="82"/>
      <c r="FV128" s="82"/>
      <c r="FW128" s="82"/>
      <c r="FX128" s="82"/>
      <c r="FY128" s="82"/>
      <c r="FZ128" s="82"/>
      <c r="GA128" s="82"/>
      <c r="GB128" s="82"/>
      <c r="GC128" s="82"/>
      <c r="GD128" s="82"/>
      <c r="GE128" s="82"/>
      <c r="GF128" s="82"/>
      <c r="GG128" s="82"/>
      <c r="GH128" s="82"/>
      <c r="GI128" s="82"/>
      <c r="GJ128" s="82"/>
      <c r="GK128" s="82"/>
      <c r="GL128" s="82"/>
      <c r="GM128" s="82"/>
      <c r="GN128" s="82"/>
      <c r="GO128" s="82"/>
      <c r="GP128" s="82"/>
      <c r="GQ128" s="82"/>
      <c r="GR128" s="82"/>
      <c r="GS128" s="82"/>
      <c r="GT128" s="82"/>
      <c r="GU128" s="82"/>
      <c r="GV128" s="82"/>
      <c r="GW128" s="82"/>
      <c r="GX128" s="82"/>
      <c r="GY128" s="82"/>
      <c r="GZ128" s="82"/>
      <c r="HA128" s="82"/>
      <c r="HB128" s="82"/>
      <c r="HC128" s="82"/>
      <c r="HD128" s="82"/>
      <c r="HE128" s="82"/>
      <c r="HF128" s="82"/>
      <c r="HG128" s="82"/>
      <c r="HH128" s="82"/>
      <c r="HI128" s="82"/>
      <c r="HJ128" s="82"/>
      <c r="HK128" s="82"/>
      <c r="HL128" s="82"/>
      <c r="HM128" s="82"/>
      <c r="HN128" s="82"/>
      <c r="HO128" s="82"/>
      <c r="HP128" s="82"/>
      <c r="HQ128" s="82"/>
      <c r="HR128" s="82"/>
      <c r="HS128" s="82"/>
      <c r="HT128" s="82"/>
      <c r="HU128" s="82"/>
      <c r="HV128" s="82"/>
      <c r="HW128" s="82"/>
      <c r="HX128" s="82"/>
      <c r="HY128" s="82"/>
      <c r="HZ128" s="82"/>
      <c r="IA128" s="82"/>
      <c r="IB128" s="82"/>
      <c r="IC128" s="82"/>
      <c r="ID128" s="82"/>
      <c r="IE128" s="82"/>
      <c r="IF128" s="82"/>
      <c r="IG128" s="82"/>
      <c r="IH128" s="82"/>
      <c r="II128" s="82"/>
      <c r="IJ128" s="82"/>
      <c r="IK128" s="82"/>
      <c r="IL128" s="82"/>
      <c r="IM128" s="82"/>
      <c r="IN128" s="82"/>
      <c r="IO128" s="82"/>
      <c r="IP128" s="82"/>
      <c r="IQ128" s="82"/>
      <c r="IR128" s="82"/>
      <c r="IS128" s="82"/>
      <c r="IT128" s="82"/>
      <c r="IU128" s="82"/>
      <c r="IV128" s="82"/>
    </row>
    <row r="129" spans="1:256" s="107" customFormat="1" ht="16.5" customHeight="1" x14ac:dyDescent="0.2">
      <c r="A129" s="706" t="s">
        <v>560</v>
      </c>
      <c r="B129" s="469">
        <f t="shared" ref="B129:G129" si="22">B117-B125-B101</f>
        <v>0</v>
      </c>
      <c r="C129" s="469">
        <f t="shared" si="22"/>
        <v>0</v>
      </c>
      <c r="D129" s="469">
        <f t="shared" si="22"/>
        <v>0</v>
      </c>
      <c r="E129" s="469">
        <f t="shared" si="22"/>
        <v>0</v>
      </c>
      <c r="F129" s="469">
        <f t="shared" si="22"/>
        <v>0</v>
      </c>
      <c r="G129" s="469">
        <f t="shared" si="22"/>
        <v>0</v>
      </c>
      <c r="H129" s="777" t="s">
        <v>488</v>
      </c>
      <c r="I129" s="777"/>
      <c r="J129" s="777"/>
      <c r="K129" s="777"/>
      <c r="L129" s="777"/>
      <c r="M129" s="777"/>
      <c r="N129" s="777"/>
      <c r="O129" s="777"/>
      <c r="P129" s="777"/>
      <c r="Q129" s="777"/>
      <c r="R129" s="777"/>
      <c r="S129" s="777"/>
      <c r="T129" s="777"/>
      <c r="U129" s="777"/>
      <c r="V129" s="777"/>
      <c r="W129" s="777"/>
      <c r="X129" s="777"/>
      <c r="Y129" s="777"/>
      <c r="Z129" s="777"/>
      <c r="AA129" s="211"/>
      <c r="AB129" s="211"/>
      <c r="AC129" s="211"/>
      <c r="AD129" s="211"/>
      <c r="AE129" s="211"/>
      <c r="AF129" s="211"/>
      <c r="AG129" s="211"/>
      <c r="AH129" s="211"/>
      <c r="AI129" s="211"/>
      <c r="AJ129" s="211"/>
      <c r="AK129" s="211"/>
      <c r="AL129" s="211"/>
      <c r="AM129" s="211"/>
      <c r="AN129" s="211"/>
      <c r="AO129" s="211"/>
      <c r="AP129" s="211"/>
      <c r="AQ129" s="211"/>
      <c r="AR129" s="211"/>
      <c r="AS129" s="211"/>
      <c r="AT129" s="211"/>
      <c r="AU129" s="211"/>
      <c r="AV129" s="211"/>
      <c r="AW129" s="211"/>
      <c r="AX129" s="211"/>
      <c r="AY129" s="211"/>
      <c r="AZ129" s="211"/>
      <c r="BA129" s="211"/>
      <c r="BB129" s="211"/>
      <c r="BC129" s="211"/>
      <c r="BD129" s="211"/>
      <c r="BE129" s="211"/>
      <c r="BF129" s="211"/>
      <c r="BG129" s="211"/>
      <c r="BH129" s="211"/>
      <c r="BI129" s="211"/>
      <c r="BJ129" s="211"/>
      <c r="BK129" s="211"/>
      <c r="BL129" s="211"/>
      <c r="BM129" s="211"/>
      <c r="BN129" s="211"/>
      <c r="BO129" s="211"/>
      <c r="BP129" s="211"/>
      <c r="BQ129" s="211"/>
      <c r="BR129" s="211"/>
      <c r="BS129" s="211"/>
      <c r="BT129" s="211"/>
      <c r="BU129" s="211"/>
      <c r="BV129" s="211"/>
      <c r="BW129" s="211"/>
      <c r="BX129" s="211"/>
      <c r="BY129" s="211"/>
      <c r="BZ129" s="211"/>
      <c r="CA129" s="211"/>
      <c r="CB129" s="211"/>
      <c r="CC129" s="211"/>
      <c r="CD129" s="211"/>
      <c r="CE129" s="211"/>
      <c r="CF129" s="211"/>
      <c r="CG129" s="211"/>
      <c r="CH129" s="211"/>
      <c r="CI129" s="211"/>
      <c r="CJ129" s="211"/>
      <c r="CK129" s="211"/>
      <c r="CL129" s="211"/>
      <c r="CM129" s="211"/>
      <c r="CN129" s="211"/>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c r="DR129" s="211"/>
      <c r="DS129" s="211"/>
      <c r="DT129" s="211"/>
      <c r="DU129" s="211"/>
      <c r="DV129" s="211"/>
      <c r="DW129" s="211"/>
      <c r="DX129" s="211"/>
      <c r="DY129" s="211"/>
      <c r="DZ129" s="211"/>
      <c r="EA129" s="211"/>
      <c r="EB129" s="211"/>
      <c r="EC129" s="211"/>
      <c r="ED129" s="211"/>
      <c r="EE129" s="211"/>
      <c r="EF129" s="211"/>
      <c r="EG129" s="211"/>
      <c r="EH129" s="211"/>
      <c r="EI129" s="211"/>
      <c r="EJ129" s="211"/>
      <c r="EK129" s="211"/>
      <c r="EL129" s="211"/>
      <c r="EM129" s="211"/>
      <c r="EN129" s="211"/>
      <c r="EO129" s="211"/>
      <c r="EP129" s="211"/>
      <c r="EQ129" s="211"/>
      <c r="ER129" s="211"/>
      <c r="ES129" s="211"/>
      <c r="ET129" s="211"/>
      <c r="EU129" s="211"/>
      <c r="EV129" s="211"/>
      <c r="EW129" s="211"/>
      <c r="EX129" s="211"/>
      <c r="EY129" s="211"/>
      <c r="EZ129" s="211"/>
      <c r="FA129" s="211"/>
      <c r="FB129" s="211"/>
      <c r="FC129" s="211"/>
      <c r="FD129" s="211"/>
      <c r="FE129" s="211"/>
      <c r="FF129" s="211"/>
      <c r="FG129" s="211"/>
      <c r="FH129" s="211"/>
      <c r="FI129" s="211"/>
      <c r="FJ129" s="211"/>
      <c r="FK129" s="211"/>
      <c r="FL129" s="211"/>
      <c r="FM129" s="211"/>
      <c r="FN129" s="211"/>
      <c r="FO129" s="211"/>
      <c r="FP129" s="211"/>
      <c r="FQ129" s="211"/>
      <c r="FR129" s="211"/>
      <c r="FS129" s="211"/>
      <c r="FT129" s="211"/>
      <c r="FU129" s="211"/>
      <c r="FV129" s="211"/>
      <c r="FW129" s="211"/>
      <c r="FX129" s="211"/>
      <c r="FY129" s="211"/>
      <c r="FZ129" s="211"/>
      <c r="GA129" s="211"/>
      <c r="GB129" s="211"/>
      <c r="GC129" s="211"/>
      <c r="GD129" s="211"/>
      <c r="GE129" s="211"/>
      <c r="GF129" s="211"/>
      <c r="GG129" s="211"/>
      <c r="GH129" s="211"/>
      <c r="GI129" s="211"/>
      <c r="GJ129" s="211"/>
      <c r="GK129" s="211"/>
      <c r="GL129" s="211"/>
      <c r="GM129" s="211"/>
      <c r="GN129" s="211"/>
      <c r="GO129" s="211"/>
      <c r="GP129" s="211"/>
      <c r="GQ129" s="211"/>
      <c r="GR129" s="211"/>
      <c r="GS129" s="211"/>
      <c r="GT129" s="211"/>
      <c r="GU129" s="211"/>
      <c r="GV129" s="211"/>
      <c r="GW129" s="211"/>
      <c r="GX129" s="211"/>
      <c r="GY129" s="211"/>
      <c r="GZ129" s="211"/>
      <c r="HA129" s="211"/>
      <c r="HB129" s="211"/>
      <c r="HC129" s="211"/>
      <c r="HD129" s="211"/>
      <c r="HE129" s="211"/>
      <c r="HF129" s="211"/>
      <c r="HG129" s="211"/>
      <c r="HH129" s="211"/>
      <c r="HI129" s="211"/>
      <c r="HJ129" s="211"/>
      <c r="HK129" s="211"/>
      <c r="HL129" s="211"/>
      <c r="HM129" s="211"/>
      <c r="HN129" s="211"/>
      <c r="HO129" s="211"/>
      <c r="HP129" s="211"/>
      <c r="HQ129" s="211"/>
      <c r="HR129" s="211"/>
      <c r="HS129" s="211"/>
      <c r="HT129" s="211"/>
      <c r="HU129" s="211"/>
      <c r="HV129" s="211"/>
      <c r="HW129" s="211"/>
      <c r="HX129" s="211"/>
      <c r="HY129" s="211"/>
      <c r="HZ129" s="211"/>
      <c r="IA129" s="211"/>
      <c r="IB129" s="211"/>
      <c r="IC129" s="211"/>
      <c r="ID129" s="211"/>
      <c r="IE129" s="211"/>
      <c r="IF129" s="211"/>
      <c r="IG129" s="211"/>
      <c r="IH129" s="211"/>
      <c r="II129" s="211"/>
      <c r="IJ129" s="211"/>
      <c r="IK129" s="211"/>
      <c r="IL129" s="211"/>
      <c r="IM129" s="211"/>
      <c r="IN129" s="211"/>
      <c r="IO129" s="211"/>
      <c r="IP129" s="211"/>
      <c r="IQ129" s="211"/>
      <c r="IR129" s="211"/>
      <c r="IS129" s="211"/>
      <c r="IT129" s="211"/>
      <c r="IU129" s="211"/>
      <c r="IV129" s="211"/>
    </row>
    <row r="130" spans="1:256" s="208" customFormat="1" ht="6" customHeight="1" x14ac:dyDescent="0.2">
      <c r="A130" s="707"/>
      <c r="B130" s="193"/>
      <c r="C130" s="193"/>
      <c r="D130" s="193"/>
      <c r="E130" s="193"/>
      <c r="F130" s="193"/>
      <c r="G130" s="193"/>
      <c r="H130" s="677"/>
      <c r="I130" s="677"/>
      <c r="J130" s="677"/>
      <c r="K130" s="677"/>
      <c r="L130" s="677"/>
      <c r="M130" s="677"/>
      <c r="N130" s="677"/>
      <c r="O130" s="677"/>
      <c r="P130" s="677"/>
      <c r="Q130" s="677"/>
      <c r="R130" s="677"/>
      <c r="S130" s="677"/>
      <c r="T130" s="677"/>
      <c r="U130" s="677"/>
      <c r="V130" s="677"/>
      <c r="W130" s="677"/>
      <c r="X130" s="677"/>
      <c r="Y130" s="677"/>
      <c r="Z130" s="677"/>
      <c r="AA130" s="193"/>
      <c r="AB130" s="193"/>
      <c r="AC130" s="193"/>
      <c r="AD130" s="193"/>
      <c r="AE130" s="193"/>
      <c r="AF130" s="193"/>
      <c r="AG130" s="193"/>
      <c r="AH130" s="193"/>
      <c r="AI130" s="193"/>
      <c r="AJ130" s="193"/>
      <c r="AK130" s="193"/>
      <c r="AL130" s="193"/>
      <c r="AM130" s="193"/>
      <c r="AN130" s="193"/>
      <c r="AO130" s="193"/>
      <c r="AP130" s="193"/>
      <c r="AQ130" s="193"/>
      <c r="AR130" s="193"/>
      <c r="AS130" s="193"/>
      <c r="AT130" s="193"/>
      <c r="AU130" s="193"/>
      <c r="AV130" s="193"/>
      <c r="AW130" s="193"/>
      <c r="AX130" s="193"/>
      <c r="AY130" s="193"/>
      <c r="AZ130" s="193"/>
      <c r="BA130" s="193"/>
      <c r="BB130" s="193"/>
      <c r="BC130" s="193"/>
      <c r="BD130" s="193"/>
      <c r="BE130" s="193"/>
      <c r="BF130" s="193"/>
      <c r="BG130" s="193"/>
      <c r="BH130" s="193"/>
      <c r="BI130" s="193"/>
      <c r="BJ130" s="193"/>
      <c r="BK130" s="193"/>
      <c r="BL130" s="193"/>
      <c r="BM130" s="193"/>
      <c r="BN130" s="193"/>
      <c r="BO130" s="193"/>
      <c r="BP130" s="193"/>
      <c r="BQ130" s="193"/>
      <c r="BR130" s="193"/>
      <c r="BS130" s="193"/>
      <c r="BT130" s="193"/>
      <c r="BU130" s="193"/>
      <c r="BV130" s="193"/>
      <c r="BW130" s="193"/>
      <c r="BX130" s="193"/>
      <c r="BY130" s="193"/>
      <c r="BZ130" s="193"/>
      <c r="CA130" s="193"/>
      <c r="CB130" s="193"/>
      <c r="CC130" s="193"/>
      <c r="CD130" s="193"/>
      <c r="CE130" s="193"/>
      <c r="CF130" s="193"/>
      <c r="CG130" s="193"/>
      <c r="CH130" s="193"/>
      <c r="CI130" s="193"/>
      <c r="CJ130" s="193"/>
      <c r="CK130" s="193"/>
      <c r="CL130" s="193"/>
      <c r="CM130" s="193"/>
      <c r="CN130" s="193"/>
      <c r="CO130" s="193"/>
      <c r="CP130" s="193"/>
      <c r="CQ130" s="193"/>
      <c r="CR130" s="193"/>
      <c r="CS130" s="193"/>
      <c r="CT130" s="193"/>
      <c r="CU130" s="193"/>
      <c r="CV130" s="193"/>
      <c r="CW130" s="193"/>
      <c r="CX130" s="193"/>
      <c r="CY130" s="193"/>
      <c r="CZ130" s="193"/>
      <c r="DA130" s="193"/>
      <c r="DB130" s="193"/>
      <c r="DC130" s="193"/>
      <c r="DD130" s="193"/>
      <c r="DE130" s="193"/>
      <c r="DF130" s="193"/>
      <c r="DG130" s="193"/>
      <c r="DH130" s="193"/>
      <c r="DI130" s="193"/>
      <c r="DJ130" s="193"/>
      <c r="DK130" s="193"/>
      <c r="DL130" s="193"/>
      <c r="DM130" s="193"/>
      <c r="DN130" s="193"/>
      <c r="DO130" s="193"/>
      <c r="DP130" s="193"/>
      <c r="DQ130" s="193"/>
      <c r="DR130" s="193"/>
      <c r="DS130" s="193"/>
      <c r="DT130" s="193"/>
      <c r="DU130" s="193"/>
      <c r="DV130" s="193"/>
      <c r="DW130" s="193"/>
      <c r="DX130" s="193"/>
      <c r="DY130" s="193"/>
      <c r="DZ130" s="193"/>
      <c r="EA130" s="193"/>
      <c r="EB130" s="193"/>
      <c r="EC130" s="193"/>
      <c r="ED130" s="193"/>
      <c r="EE130" s="193"/>
      <c r="EF130" s="193"/>
      <c r="EG130" s="193"/>
      <c r="EH130" s="193"/>
      <c r="EI130" s="193"/>
      <c r="EJ130" s="193"/>
      <c r="EK130" s="193"/>
      <c r="EL130" s="193"/>
      <c r="EM130" s="193"/>
      <c r="EN130" s="193"/>
      <c r="EO130" s="193"/>
      <c r="EP130" s="193"/>
      <c r="EQ130" s="193"/>
      <c r="ER130" s="193"/>
      <c r="ES130" s="193"/>
      <c r="ET130" s="193"/>
      <c r="EU130" s="193"/>
      <c r="EV130" s="193"/>
      <c r="EW130" s="193"/>
      <c r="EX130" s="193"/>
      <c r="EY130" s="193"/>
      <c r="EZ130" s="193"/>
      <c r="FA130" s="193"/>
      <c r="FB130" s="193"/>
      <c r="FC130" s="193"/>
      <c r="FD130" s="193"/>
      <c r="FE130" s="193"/>
      <c r="FF130" s="193"/>
      <c r="FG130" s="193"/>
      <c r="FH130" s="193"/>
      <c r="FI130" s="193"/>
      <c r="FJ130" s="193"/>
      <c r="FK130" s="193"/>
      <c r="FL130" s="193"/>
      <c r="FM130" s="193"/>
      <c r="FN130" s="193"/>
      <c r="FO130" s="193"/>
      <c r="FP130" s="193"/>
      <c r="FQ130" s="193"/>
      <c r="FR130" s="193"/>
      <c r="FS130" s="193"/>
      <c r="FT130" s="193"/>
      <c r="FU130" s="193"/>
      <c r="FV130" s="193"/>
      <c r="FW130" s="193"/>
      <c r="FX130" s="193"/>
      <c r="FY130" s="193"/>
      <c r="FZ130" s="193"/>
      <c r="GA130" s="193"/>
      <c r="GB130" s="193"/>
      <c r="GC130" s="193"/>
      <c r="GD130" s="193"/>
      <c r="GE130" s="193"/>
      <c r="GF130" s="193"/>
      <c r="GG130" s="193"/>
      <c r="GH130" s="193"/>
      <c r="GI130" s="193"/>
      <c r="GJ130" s="193"/>
      <c r="GK130" s="193"/>
      <c r="GL130" s="193"/>
      <c r="GM130" s="193"/>
      <c r="GN130" s="193"/>
      <c r="GO130" s="193"/>
      <c r="GP130" s="193"/>
      <c r="GQ130" s="193"/>
      <c r="GR130" s="193"/>
      <c r="GS130" s="193"/>
      <c r="GT130" s="193"/>
      <c r="GU130" s="193"/>
      <c r="GV130" s="193"/>
      <c r="GW130" s="193"/>
      <c r="GX130" s="193"/>
      <c r="GY130" s="193"/>
      <c r="GZ130" s="193"/>
      <c r="HA130" s="193"/>
      <c r="HB130" s="193"/>
      <c r="HC130" s="193"/>
      <c r="HD130" s="193"/>
      <c r="HE130" s="193"/>
      <c r="HF130" s="193"/>
      <c r="HG130" s="193"/>
      <c r="HH130" s="193"/>
      <c r="HI130" s="193"/>
      <c r="HJ130" s="193"/>
      <c r="HK130" s="193"/>
      <c r="HL130" s="193"/>
      <c r="HM130" s="193"/>
      <c r="HN130" s="193"/>
      <c r="HO130" s="193"/>
      <c r="HP130" s="193"/>
      <c r="HQ130" s="193"/>
      <c r="HR130" s="193"/>
      <c r="HS130" s="193"/>
      <c r="HT130" s="193"/>
      <c r="HU130" s="193"/>
      <c r="HV130" s="193"/>
      <c r="HW130" s="193"/>
      <c r="HX130" s="193"/>
      <c r="HY130" s="193"/>
      <c r="HZ130" s="193"/>
      <c r="IA130" s="193"/>
      <c r="IB130" s="193"/>
      <c r="IC130" s="193"/>
      <c r="ID130" s="193"/>
      <c r="IE130" s="193"/>
      <c r="IF130" s="193"/>
      <c r="IG130" s="193"/>
      <c r="IH130" s="193"/>
      <c r="II130" s="193"/>
      <c r="IJ130" s="193"/>
      <c r="IK130" s="193"/>
      <c r="IL130" s="193"/>
      <c r="IM130" s="193"/>
      <c r="IN130" s="193"/>
      <c r="IO130" s="193"/>
      <c r="IP130" s="193"/>
      <c r="IQ130" s="193"/>
      <c r="IR130" s="193"/>
      <c r="IS130" s="193"/>
      <c r="IT130" s="193"/>
      <c r="IU130" s="193"/>
      <c r="IV130" s="193"/>
    </row>
    <row r="131" spans="1:256" s="219" customFormat="1" ht="6" customHeight="1" x14ac:dyDescent="0.2">
      <c r="A131" s="708"/>
      <c r="B131" s="218"/>
      <c r="C131" s="218"/>
      <c r="D131" s="215"/>
      <c r="E131" s="215"/>
      <c r="F131" s="218"/>
      <c r="H131" s="1008"/>
      <c r="I131" s="1169"/>
      <c r="J131" s="1169"/>
      <c r="K131" s="1169"/>
      <c r="L131" s="1169"/>
      <c r="M131" s="1169"/>
      <c r="N131" s="1169"/>
      <c r="O131" s="1169"/>
      <c r="P131" s="1169"/>
      <c r="Q131" s="1169"/>
      <c r="R131" s="1169"/>
      <c r="S131" s="1169"/>
      <c r="T131" s="1169"/>
      <c r="U131" s="1169"/>
      <c r="V131" s="1169"/>
      <c r="W131" s="1169"/>
      <c r="X131" s="1169"/>
      <c r="Y131" s="1169"/>
      <c r="Z131" s="1169"/>
      <c r="AA131" s="82"/>
      <c r="AB131" s="82"/>
      <c r="AC131" s="82"/>
      <c r="AD131" s="82"/>
      <c r="AE131" s="82"/>
      <c r="AF131" s="82"/>
      <c r="AG131" s="82"/>
      <c r="AH131" s="82"/>
      <c r="AI131" s="82"/>
      <c r="AJ131" s="82"/>
      <c r="AK131" s="82"/>
      <c r="AL131" s="82"/>
      <c r="AM131" s="82"/>
      <c r="AN131" s="82"/>
      <c r="AO131" s="82"/>
      <c r="AP131" s="82"/>
      <c r="AQ131" s="82"/>
      <c r="AR131" s="82"/>
      <c r="AS131" s="82"/>
      <c r="AT131" s="82"/>
      <c r="AU131" s="82"/>
      <c r="AV131" s="82"/>
      <c r="AW131" s="82"/>
      <c r="AX131" s="82"/>
      <c r="AY131" s="82"/>
      <c r="AZ131" s="82"/>
      <c r="BA131" s="82"/>
      <c r="BB131" s="82"/>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82"/>
      <c r="CR131" s="82"/>
      <c r="CS131" s="82"/>
      <c r="CT131" s="82"/>
      <c r="CU131" s="82"/>
      <c r="CV131" s="82"/>
      <c r="CW131" s="82"/>
      <c r="CX131" s="82"/>
      <c r="CY131" s="82"/>
      <c r="CZ131" s="82"/>
      <c r="DA131" s="82"/>
      <c r="DB131" s="82"/>
      <c r="DC131" s="82"/>
      <c r="DD131" s="82"/>
      <c r="DE131" s="82"/>
      <c r="DF131" s="82"/>
      <c r="DG131" s="82"/>
      <c r="DH131" s="82"/>
      <c r="DI131" s="82"/>
      <c r="DJ131" s="82"/>
      <c r="DK131" s="82"/>
      <c r="DL131" s="82"/>
      <c r="DM131" s="82"/>
      <c r="DN131" s="82"/>
      <c r="DO131" s="82"/>
      <c r="DP131" s="82"/>
      <c r="DQ131" s="82"/>
      <c r="DR131" s="82"/>
      <c r="DS131" s="82"/>
      <c r="DT131" s="82"/>
      <c r="DU131" s="82"/>
      <c r="DV131" s="82"/>
      <c r="DW131" s="82"/>
      <c r="DX131" s="82"/>
      <c r="DY131" s="82"/>
      <c r="DZ131" s="82"/>
      <c r="EA131" s="82"/>
      <c r="EB131" s="82"/>
      <c r="EC131" s="82"/>
      <c r="ED131" s="82"/>
      <c r="EE131" s="82"/>
      <c r="EF131" s="82"/>
      <c r="EG131" s="82"/>
      <c r="EH131" s="82"/>
      <c r="EI131" s="82"/>
      <c r="EJ131" s="82"/>
      <c r="EK131" s="82"/>
      <c r="EL131" s="82"/>
      <c r="EM131" s="82"/>
      <c r="EN131" s="82"/>
      <c r="EO131" s="82"/>
      <c r="EP131" s="82"/>
      <c r="EQ131" s="82"/>
      <c r="ER131" s="82"/>
      <c r="ES131" s="82"/>
      <c r="ET131" s="82"/>
      <c r="EU131" s="82"/>
      <c r="EV131" s="82"/>
      <c r="EW131" s="82"/>
      <c r="EX131" s="82"/>
      <c r="EY131" s="82"/>
      <c r="EZ131" s="82"/>
      <c r="FA131" s="82"/>
      <c r="FB131" s="82"/>
      <c r="FC131" s="82"/>
      <c r="FD131" s="82"/>
      <c r="FE131" s="82"/>
      <c r="FF131" s="82"/>
      <c r="FG131" s="82"/>
      <c r="FH131" s="82"/>
      <c r="FI131" s="82"/>
      <c r="FJ131" s="82"/>
      <c r="FK131" s="82"/>
      <c r="FL131" s="82"/>
      <c r="FM131" s="82"/>
      <c r="FN131" s="82"/>
      <c r="FO131" s="82"/>
      <c r="FP131" s="82"/>
      <c r="FQ131" s="82"/>
      <c r="FR131" s="82"/>
      <c r="FS131" s="82"/>
      <c r="FT131" s="82"/>
      <c r="FU131" s="82"/>
      <c r="FV131" s="82"/>
      <c r="FW131" s="82"/>
      <c r="FX131" s="82"/>
      <c r="FY131" s="82"/>
      <c r="FZ131" s="82"/>
      <c r="GA131" s="82"/>
      <c r="GB131" s="82"/>
      <c r="GC131" s="82"/>
      <c r="GD131" s="82"/>
      <c r="GE131" s="82"/>
      <c r="GF131" s="82"/>
      <c r="GG131" s="82"/>
      <c r="GH131" s="82"/>
      <c r="GI131" s="82"/>
      <c r="GJ131" s="82"/>
      <c r="GK131" s="82"/>
      <c r="GL131" s="82"/>
      <c r="GM131" s="82"/>
      <c r="GN131" s="82"/>
      <c r="GO131" s="82"/>
      <c r="GP131" s="82"/>
      <c r="GQ131" s="82"/>
      <c r="GR131" s="82"/>
      <c r="GS131" s="82"/>
      <c r="GT131" s="82"/>
      <c r="GU131" s="82"/>
      <c r="GV131" s="82"/>
      <c r="GW131" s="82"/>
      <c r="GX131" s="82"/>
      <c r="GY131" s="82"/>
      <c r="GZ131" s="82"/>
      <c r="HA131" s="82"/>
      <c r="HB131" s="82"/>
      <c r="HC131" s="82"/>
      <c r="HD131" s="82"/>
      <c r="HE131" s="82"/>
      <c r="HF131" s="82"/>
      <c r="HG131" s="82"/>
      <c r="HH131" s="82"/>
      <c r="HI131" s="82"/>
      <c r="HJ131" s="82"/>
      <c r="HK131" s="82"/>
      <c r="HL131" s="82"/>
      <c r="HM131" s="82"/>
      <c r="HN131" s="82"/>
      <c r="HO131" s="82"/>
      <c r="HP131" s="82"/>
      <c r="HQ131" s="82"/>
      <c r="HR131" s="82"/>
      <c r="HS131" s="82"/>
      <c r="HT131" s="82"/>
      <c r="HU131" s="82"/>
      <c r="HV131" s="82"/>
      <c r="HW131" s="82"/>
      <c r="HX131" s="82"/>
      <c r="HY131" s="82"/>
      <c r="HZ131" s="82"/>
      <c r="IA131" s="82"/>
      <c r="IB131" s="82"/>
      <c r="IC131" s="82"/>
      <c r="ID131" s="82"/>
      <c r="IE131" s="82"/>
      <c r="IF131" s="82"/>
      <c r="IG131" s="82"/>
      <c r="IH131" s="82"/>
      <c r="II131" s="82"/>
      <c r="IJ131" s="82"/>
      <c r="IK131" s="82"/>
      <c r="IL131" s="82"/>
      <c r="IM131" s="82"/>
      <c r="IN131" s="82"/>
      <c r="IO131" s="82"/>
      <c r="IP131" s="82"/>
      <c r="IQ131" s="82"/>
      <c r="IR131" s="82"/>
      <c r="IS131" s="82"/>
      <c r="IT131" s="82"/>
      <c r="IU131" s="82"/>
      <c r="IV131" s="82"/>
    </row>
    <row r="132" spans="1:256" s="531" customFormat="1" ht="16.5" customHeight="1" x14ac:dyDescent="0.2">
      <c r="A132" s="704" t="s">
        <v>586</v>
      </c>
      <c r="B132" s="212"/>
      <c r="C132" s="212"/>
      <c r="D132" s="212"/>
      <c r="E132" s="212"/>
      <c r="F132" s="212"/>
      <c r="G132" s="212"/>
      <c r="H132" s="1067"/>
      <c r="I132" s="776"/>
      <c r="J132" s="776"/>
      <c r="K132" s="776"/>
      <c r="L132" s="776"/>
      <c r="M132" s="776"/>
      <c r="N132" s="776"/>
      <c r="O132" s="776"/>
      <c r="P132" s="776"/>
      <c r="Q132" s="776"/>
      <c r="R132" s="776"/>
      <c r="S132" s="776"/>
      <c r="T132" s="776"/>
      <c r="U132" s="776"/>
      <c r="V132" s="776"/>
      <c r="W132" s="776"/>
      <c r="X132" s="776"/>
      <c r="Y132" s="776"/>
      <c r="Z132" s="776"/>
      <c r="AA132" s="530"/>
      <c r="AB132" s="530"/>
      <c r="AC132" s="530"/>
      <c r="AD132" s="530"/>
      <c r="AE132" s="530"/>
      <c r="AF132" s="530"/>
      <c r="AG132" s="530"/>
      <c r="AH132" s="530"/>
      <c r="AI132" s="530"/>
      <c r="AJ132" s="530"/>
      <c r="AK132" s="530"/>
      <c r="AL132" s="530"/>
      <c r="AM132" s="530"/>
      <c r="AN132" s="530"/>
      <c r="AO132" s="530"/>
      <c r="AP132" s="530"/>
      <c r="AQ132" s="530"/>
      <c r="AR132" s="530"/>
      <c r="AS132" s="530"/>
      <c r="AT132" s="530"/>
      <c r="AU132" s="530"/>
      <c r="AV132" s="530"/>
      <c r="AW132" s="530"/>
      <c r="AX132" s="530"/>
      <c r="AY132" s="530"/>
      <c r="AZ132" s="530"/>
      <c r="BA132" s="530"/>
      <c r="BB132" s="530"/>
      <c r="BC132" s="530"/>
      <c r="BD132" s="530"/>
      <c r="BE132" s="530"/>
      <c r="BF132" s="530"/>
      <c r="BG132" s="530"/>
      <c r="BH132" s="530"/>
      <c r="BI132" s="530"/>
      <c r="BJ132" s="530"/>
      <c r="BK132" s="530"/>
      <c r="BL132" s="530"/>
      <c r="BM132" s="530"/>
      <c r="BN132" s="530"/>
      <c r="BO132" s="530"/>
      <c r="BP132" s="530"/>
      <c r="BQ132" s="530"/>
      <c r="BR132" s="530"/>
      <c r="BS132" s="530"/>
      <c r="BT132" s="530"/>
      <c r="BU132" s="530"/>
      <c r="BV132" s="530"/>
      <c r="BW132" s="530"/>
      <c r="BX132" s="530"/>
      <c r="BY132" s="530"/>
      <c r="BZ132" s="530"/>
      <c r="CA132" s="530"/>
      <c r="CB132" s="530"/>
      <c r="CC132" s="530"/>
      <c r="CD132" s="530"/>
      <c r="CE132" s="530"/>
      <c r="CF132" s="530"/>
      <c r="CG132" s="530"/>
      <c r="CH132" s="530"/>
      <c r="CI132" s="530"/>
      <c r="CJ132" s="530"/>
      <c r="CK132" s="530"/>
      <c r="CL132" s="530"/>
      <c r="CM132" s="530"/>
      <c r="CN132" s="530"/>
      <c r="CO132" s="530"/>
      <c r="CP132" s="530"/>
      <c r="CQ132" s="530"/>
      <c r="CR132" s="530"/>
      <c r="CS132" s="530"/>
      <c r="CT132" s="530"/>
      <c r="CU132" s="530"/>
      <c r="CV132" s="530"/>
      <c r="CW132" s="530"/>
      <c r="CX132" s="530"/>
      <c r="CY132" s="530"/>
      <c r="CZ132" s="530"/>
      <c r="DA132" s="530"/>
      <c r="DB132" s="530"/>
      <c r="DC132" s="530"/>
      <c r="DD132" s="530"/>
      <c r="DE132" s="530"/>
      <c r="DF132" s="530"/>
      <c r="DG132" s="530"/>
      <c r="DH132" s="530"/>
      <c r="DI132" s="530"/>
      <c r="DJ132" s="530"/>
      <c r="DK132" s="530"/>
      <c r="DL132" s="530"/>
      <c r="DM132" s="530"/>
      <c r="DN132" s="530"/>
      <c r="DO132" s="530"/>
      <c r="DP132" s="530"/>
      <c r="DQ132" s="530"/>
      <c r="DR132" s="530"/>
      <c r="DS132" s="530"/>
      <c r="DT132" s="530"/>
      <c r="DU132" s="530"/>
      <c r="DV132" s="530"/>
      <c r="DW132" s="530"/>
      <c r="DX132" s="530"/>
      <c r="DY132" s="530"/>
      <c r="DZ132" s="530"/>
      <c r="EA132" s="530"/>
      <c r="EB132" s="530"/>
      <c r="EC132" s="530"/>
      <c r="ED132" s="530"/>
      <c r="EE132" s="530"/>
      <c r="EF132" s="530"/>
      <c r="EG132" s="530"/>
      <c r="EH132" s="530"/>
      <c r="EI132" s="530"/>
      <c r="EJ132" s="530"/>
      <c r="EK132" s="530"/>
      <c r="EL132" s="530"/>
      <c r="EM132" s="530"/>
      <c r="EN132" s="530"/>
      <c r="EO132" s="530"/>
      <c r="EP132" s="530"/>
      <c r="EQ132" s="530"/>
      <c r="ER132" s="530"/>
      <c r="ES132" s="530"/>
      <c r="ET132" s="530"/>
      <c r="EU132" s="530"/>
      <c r="EV132" s="530"/>
      <c r="EW132" s="530"/>
      <c r="EX132" s="530"/>
      <c r="EY132" s="530"/>
      <c r="EZ132" s="530"/>
      <c r="FA132" s="530"/>
      <c r="FB132" s="530"/>
      <c r="FC132" s="530"/>
      <c r="FD132" s="530"/>
      <c r="FE132" s="530"/>
      <c r="FF132" s="530"/>
      <c r="FG132" s="530"/>
      <c r="FH132" s="530"/>
      <c r="FI132" s="530"/>
      <c r="FJ132" s="530"/>
      <c r="FK132" s="530"/>
      <c r="FL132" s="530"/>
      <c r="FM132" s="530"/>
      <c r="FN132" s="530"/>
      <c r="FO132" s="530"/>
      <c r="FP132" s="530"/>
      <c r="FQ132" s="530"/>
      <c r="FR132" s="530"/>
      <c r="FS132" s="530"/>
      <c r="FT132" s="530"/>
      <c r="FU132" s="530"/>
      <c r="FV132" s="530"/>
      <c r="FW132" s="530"/>
      <c r="FX132" s="530"/>
      <c r="FY132" s="530"/>
      <c r="FZ132" s="530"/>
      <c r="GA132" s="530"/>
      <c r="GB132" s="530"/>
      <c r="GC132" s="530"/>
      <c r="GD132" s="530"/>
      <c r="GE132" s="530"/>
      <c r="GF132" s="530"/>
      <c r="GG132" s="530"/>
      <c r="GH132" s="530"/>
      <c r="GI132" s="530"/>
      <c r="GJ132" s="530"/>
      <c r="GK132" s="530"/>
      <c r="GL132" s="530"/>
      <c r="GM132" s="530"/>
      <c r="GN132" s="530"/>
      <c r="GO132" s="530"/>
      <c r="GP132" s="530"/>
      <c r="GQ132" s="530"/>
      <c r="GR132" s="530"/>
      <c r="GS132" s="530"/>
      <c r="GT132" s="530"/>
      <c r="GU132" s="530"/>
      <c r="GV132" s="530"/>
      <c r="GW132" s="530"/>
      <c r="GX132" s="530"/>
      <c r="GY132" s="530"/>
      <c r="GZ132" s="530"/>
      <c r="HA132" s="530"/>
      <c r="HB132" s="530"/>
      <c r="HC132" s="530"/>
      <c r="HD132" s="530"/>
      <c r="HE132" s="530"/>
      <c r="HF132" s="530"/>
      <c r="HG132" s="530"/>
      <c r="HH132" s="530"/>
      <c r="HI132" s="530"/>
      <c r="HJ132" s="530"/>
      <c r="HK132" s="530"/>
      <c r="HL132" s="530"/>
      <c r="HM132" s="530"/>
      <c r="HN132" s="530"/>
      <c r="HO132" s="530"/>
      <c r="HP132" s="530"/>
      <c r="HQ132" s="530"/>
      <c r="HR132" s="530"/>
      <c r="HS132" s="530"/>
      <c r="HT132" s="530"/>
      <c r="HU132" s="530"/>
      <c r="HV132" s="530"/>
      <c r="HW132" s="530"/>
      <c r="HX132" s="530"/>
      <c r="HY132" s="530"/>
      <c r="HZ132" s="530"/>
      <c r="IA132" s="530"/>
      <c r="IB132" s="530"/>
      <c r="IC132" s="530"/>
      <c r="ID132" s="530"/>
      <c r="IE132" s="530"/>
      <c r="IF132" s="530"/>
      <c r="IG132" s="530"/>
      <c r="IH132" s="530"/>
      <c r="II132" s="530"/>
      <c r="IJ132" s="530"/>
      <c r="IK132" s="530"/>
      <c r="IL132" s="530"/>
      <c r="IM132" s="530"/>
      <c r="IN132" s="530"/>
      <c r="IO132" s="530"/>
      <c r="IP132" s="530"/>
      <c r="IQ132" s="530"/>
      <c r="IR132" s="530"/>
      <c r="IS132" s="530"/>
      <c r="IT132" s="530"/>
      <c r="IU132" s="530"/>
      <c r="IV132" s="530"/>
    </row>
    <row r="133" spans="1:256" s="531" customFormat="1" ht="16.5" customHeight="1" x14ac:dyDescent="0.2">
      <c r="A133" s="702" t="s">
        <v>798</v>
      </c>
      <c r="B133" s="212"/>
      <c r="C133" s="212"/>
      <c r="D133" s="212"/>
      <c r="E133" s="212"/>
      <c r="F133" s="212"/>
      <c r="G133" s="212"/>
      <c r="H133" s="1067"/>
      <c r="I133" s="776"/>
      <c r="J133" s="776"/>
      <c r="K133" s="776"/>
      <c r="L133" s="776"/>
      <c r="M133" s="776"/>
      <c r="N133" s="776"/>
      <c r="O133" s="776"/>
      <c r="P133" s="776"/>
      <c r="Q133" s="776"/>
      <c r="R133" s="776"/>
      <c r="S133" s="776"/>
      <c r="T133" s="776"/>
      <c r="U133" s="776"/>
      <c r="V133" s="776"/>
      <c r="W133" s="776"/>
      <c r="X133" s="776"/>
      <c r="Y133" s="776"/>
      <c r="Z133" s="776"/>
      <c r="AA133" s="530"/>
      <c r="AB133" s="530"/>
      <c r="AC133" s="530"/>
      <c r="AD133" s="530"/>
      <c r="AE133" s="530"/>
      <c r="AF133" s="530"/>
      <c r="AG133" s="530"/>
      <c r="AH133" s="530"/>
      <c r="AI133" s="530"/>
      <c r="AJ133" s="530"/>
      <c r="AK133" s="530"/>
      <c r="AL133" s="530"/>
      <c r="AM133" s="530"/>
      <c r="AN133" s="530"/>
      <c r="AO133" s="530"/>
      <c r="AP133" s="530"/>
      <c r="AQ133" s="530"/>
      <c r="AR133" s="530"/>
      <c r="AS133" s="530"/>
      <c r="AT133" s="530"/>
      <c r="AU133" s="530"/>
      <c r="AV133" s="530"/>
      <c r="AW133" s="530"/>
      <c r="AX133" s="530"/>
      <c r="AY133" s="530"/>
      <c r="AZ133" s="530"/>
      <c r="BA133" s="530"/>
      <c r="BB133" s="530"/>
      <c r="BC133" s="530"/>
      <c r="BD133" s="530"/>
      <c r="BE133" s="530"/>
      <c r="BF133" s="530"/>
      <c r="BG133" s="530"/>
      <c r="BH133" s="530"/>
      <c r="BI133" s="530"/>
      <c r="BJ133" s="530"/>
      <c r="BK133" s="530"/>
      <c r="BL133" s="530"/>
      <c r="BM133" s="530"/>
      <c r="BN133" s="530"/>
      <c r="BO133" s="530"/>
      <c r="BP133" s="530"/>
      <c r="BQ133" s="530"/>
      <c r="BR133" s="530"/>
      <c r="BS133" s="530"/>
      <c r="BT133" s="530"/>
      <c r="BU133" s="530"/>
      <c r="BV133" s="530"/>
      <c r="BW133" s="530"/>
      <c r="BX133" s="530"/>
      <c r="BY133" s="530"/>
      <c r="BZ133" s="530"/>
      <c r="CA133" s="530"/>
      <c r="CB133" s="530"/>
      <c r="CC133" s="530"/>
      <c r="CD133" s="530"/>
      <c r="CE133" s="530"/>
      <c r="CF133" s="530"/>
      <c r="CG133" s="530"/>
      <c r="CH133" s="530"/>
      <c r="CI133" s="530"/>
      <c r="CJ133" s="530"/>
      <c r="CK133" s="530"/>
      <c r="CL133" s="530"/>
      <c r="CM133" s="530"/>
      <c r="CN133" s="530"/>
      <c r="CO133" s="530"/>
      <c r="CP133" s="530"/>
      <c r="CQ133" s="530"/>
      <c r="CR133" s="530"/>
      <c r="CS133" s="530"/>
      <c r="CT133" s="530"/>
      <c r="CU133" s="530"/>
      <c r="CV133" s="530"/>
      <c r="CW133" s="530"/>
      <c r="CX133" s="530"/>
      <c r="CY133" s="530"/>
      <c r="CZ133" s="530"/>
      <c r="DA133" s="530"/>
      <c r="DB133" s="530"/>
      <c r="DC133" s="530"/>
      <c r="DD133" s="530"/>
      <c r="DE133" s="530"/>
      <c r="DF133" s="530"/>
      <c r="DG133" s="530"/>
      <c r="DH133" s="530"/>
      <c r="DI133" s="530"/>
      <c r="DJ133" s="530"/>
      <c r="DK133" s="530"/>
      <c r="DL133" s="530"/>
      <c r="DM133" s="530"/>
      <c r="DN133" s="530"/>
      <c r="DO133" s="530"/>
      <c r="DP133" s="530"/>
      <c r="DQ133" s="530"/>
      <c r="DR133" s="530"/>
      <c r="DS133" s="530"/>
      <c r="DT133" s="530"/>
      <c r="DU133" s="530"/>
      <c r="DV133" s="530"/>
      <c r="DW133" s="530"/>
      <c r="DX133" s="530"/>
      <c r="DY133" s="530"/>
      <c r="DZ133" s="530"/>
      <c r="EA133" s="530"/>
      <c r="EB133" s="530"/>
      <c r="EC133" s="530"/>
      <c r="ED133" s="530"/>
      <c r="EE133" s="530"/>
      <c r="EF133" s="530"/>
      <c r="EG133" s="530"/>
      <c r="EH133" s="530"/>
      <c r="EI133" s="530"/>
      <c r="EJ133" s="530"/>
      <c r="EK133" s="530"/>
      <c r="EL133" s="530"/>
      <c r="EM133" s="530"/>
      <c r="EN133" s="530"/>
      <c r="EO133" s="530"/>
      <c r="EP133" s="530"/>
      <c r="EQ133" s="530"/>
      <c r="ER133" s="530"/>
      <c r="ES133" s="530"/>
      <c r="ET133" s="530"/>
      <c r="EU133" s="530"/>
      <c r="EV133" s="530"/>
      <c r="EW133" s="530"/>
      <c r="EX133" s="530"/>
      <c r="EY133" s="530"/>
      <c r="EZ133" s="530"/>
      <c r="FA133" s="530"/>
      <c r="FB133" s="530"/>
      <c r="FC133" s="530"/>
      <c r="FD133" s="530"/>
      <c r="FE133" s="530"/>
      <c r="FF133" s="530"/>
      <c r="FG133" s="530"/>
      <c r="FH133" s="530"/>
      <c r="FI133" s="530"/>
      <c r="FJ133" s="530"/>
      <c r="FK133" s="530"/>
      <c r="FL133" s="530"/>
      <c r="FM133" s="530"/>
      <c r="FN133" s="530"/>
      <c r="FO133" s="530"/>
      <c r="FP133" s="530"/>
      <c r="FQ133" s="530"/>
      <c r="FR133" s="530"/>
      <c r="FS133" s="530"/>
      <c r="FT133" s="530"/>
      <c r="FU133" s="530"/>
      <c r="FV133" s="530"/>
      <c r="FW133" s="530"/>
      <c r="FX133" s="530"/>
      <c r="FY133" s="530"/>
      <c r="FZ133" s="530"/>
      <c r="GA133" s="530"/>
      <c r="GB133" s="530"/>
      <c r="GC133" s="530"/>
      <c r="GD133" s="530"/>
      <c r="GE133" s="530"/>
      <c r="GF133" s="530"/>
      <c r="GG133" s="530"/>
      <c r="GH133" s="530"/>
      <c r="GI133" s="530"/>
      <c r="GJ133" s="530"/>
      <c r="GK133" s="530"/>
      <c r="GL133" s="530"/>
      <c r="GM133" s="530"/>
      <c r="GN133" s="530"/>
      <c r="GO133" s="530"/>
      <c r="GP133" s="530"/>
      <c r="GQ133" s="530"/>
      <c r="GR133" s="530"/>
      <c r="GS133" s="530"/>
      <c r="GT133" s="530"/>
      <c r="GU133" s="530"/>
      <c r="GV133" s="530"/>
      <c r="GW133" s="530"/>
      <c r="GX133" s="530"/>
      <c r="GY133" s="530"/>
      <c r="GZ133" s="530"/>
      <c r="HA133" s="530"/>
      <c r="HB133" s="530"/>
      <c r="HC133" s="530"/>
      <c r="HD133" s="530"/>
      <c r="HE133" s="530"/>
      <c r="HF133" s="530"/>
      <c r="HG133" s="530"/>
      <c r="HH133" s="530"/>
      <c r="HI133" s="530"/>
      <c r="HJ133" s="530"/>
      <c r="HK133" s="530"/>
      <c r="HL133" s="530"/>
      <c r="HM133" s="530"/>
      <c r="HN133" s="530"/>
      <c r="HO133" s="530"/>
      <c r="HP133" s="530"/>
      <c r="HQ133" s="530"/>
      <c r="HR133" s="530"/>
      <c r="HS133" s="530"/>
      <c r="HT133" s="530"/>
      <c r="HU133" s="530"/>
      <c r="HV133" s="530"/>
      <c r="HW133" s="530"/>
      <c r="HX133" s="530"/>
      <c r="HY133" s="530"/>
      <c r="HZ133" s="530"/>
      <c r="IA133" s="530"/>
      <c r="IB133" s="530"/>
      <c r="IC133" s="530"/>
      <c r="ID133" s="530"/>
      <c r="IE133" s="530"/>
      <c r="IF133" s="530"/>
      <c r="IG133" s="530"/>
      <c r="IH133" s="530"/>
      <c r="II133" s="530"/>
      <c r="IJ133" s="530"/>
      <c r="IK133" s="530"/>
      <c r="IL133" s="530"/>
      <c r="IM133" s="530"/>
      <c r="IN133" s="530"/>
      <c r="IO133" s="530"/>
      <c r="IP133" s="530"/>
      <c r="IQ133" s="530"/>
      <c r="IR133" s="530"/>
      <c r="IS133" s="530"/>
      <c r="IT133" s="530"/>
      <c r="IU133" s="530"/>
      <c r="IV133" s="530"/>
    </row>
    <row r="134" spans="1:256" s="45" customFormat="1" ht="16.5" customHeight="1" x14ac:dyDescent="0.2">
      <c r="B134" s="468" t="s">
        <v>493</v>
      </c>
      <c r="C134" s="269"/>
      <c r="D134" s="269"/>
      <c r="E134" s="269"/>
      <c r="F134" s="269"/>
      <c r="G134" s="269"/>
      <c r="H134" s="677"/>
      <c r="I134" s="677"/>
      <c r="J134" s="677"/>
      <c r="K134" s="677"/>
      <c r="L134" s="677"/>
      <c r="M134" s="677"/>
      <c r="N134" s="677"/>
      <c r="O134" s="677"/>
      <c r="P134" s="677"/>
      <c r="Q134" s="677"/>
      <c r="R134" s="677"/>
      <c r="S134" s="677"/>
      <c r="T134" s="677"/>
      <c r="U134" s="677"/>
      <c r="V134" s="677"/>
      <c r="W134" s="677"/>
      <c r="X134" s="677"/>
      <c r="Y134" s="677"/>
      <c r="Z134" s="677"/>
      <c r="AA134" s="193"/>
      <c r="AB134" s="193"/>
      <c r="AC134" s="193"/>
      <c r="AD134" s="193"/>
      <c r="AE134" s="193"/>
      <c r="AF134" s="193"/>
      <c r="AG134" s="193"/>
      <c r="AH134" s="193"/>
      <c r="AI134" s="193"/>
      <c r="AJ134" s="193"/>
      <c r="AK134" s="193"/>
      <c r="AL134" s="193"/>
      <c r="AM134" s="193"/>
      <c r="AN134" s="193"/>
      <c r="AO134" s="193"/>
      <c r="AP134" s="193"/>
      <c r="AQ134" s="193"/>
      <c r="AR134" s="193"/>
      <c r="AS134" s="193"/>
      <c r="AT134" s="193"/>
      <c r="AU134" s="193"/>
      <c r="AV134" s="193"/>
      <c r="AW134" s="193"/>
      <c r="AX134" s="193"/>
      <c r="AY134" s="193"/>
      <c r="AZ134" s="193"/>
      <c r="BA134" s="193"/>
      <c r="BB134" s="193"/>
      <c r="BC134" s="193"/>
      <c r="BD134" s="193"/>
      <c r="BE134" s="193"/>
      <c r="BF134" s="193"/>
      <c r="BG134" s="193"/>
      <c r="BH134" s="193"/>
      <c r="BI134" s="193"/>
      <c r="BJ134" s="193"/>
      <c r="BK134" s="193"/>
      <c r="BL134" s="193"/>
      <c r="BM134" s="193"/>
      <c r="BN134" s="193"/>
      <c r="BO134" s="193"/>
      <c r="BP134" s="193"/>
      <c r="BQ134" s="193"/>
      <c r="BR134" s="193"/>
      <c r="BS134" s="193"/>
      <c r="BT134" s="193"/>
      <c r="BU134" s="193"/>
      <c r="BV134" s="193"/>
      <c r="BW134" s="193"/>
      <c r="BX134" s="193"/>
      <c r="BY134" s="193"/>
      <c r="BZ134" s="193"/>
      <c r="CA134" s="193"/>
      <c r="CB134" s="193"/>
      <c r="CC134" s="193"/>
      <c r="CD134" s="193"/>
      <c r="CE134" s="193"/>
      <c r="CF134" s="193"/>
      <c r="CG134" s="193"/>
      <c r="CH134" s="193"/>
      <c r="CI134" s="193"/>
      <c r="CJ134" s="193"/>
      <c r="CK134" s="193"/>
      <c r="CL134" s="193"/>
      <c r="CM134" s="193"/>
      <c r="CN134" s="193"/>
      <c r="CO134" s="193"/>
      <c r="CP134" s="193"/>
      <c r="CQ134" s="193"/>
      <c r="CR134" s="193"/>
      <c r="CS134" s="193"/>
      <c r="CT134" s="193"/>
      <c r="CU134" s="193"/>
      <c r="CV134" s="193"/>
      <c r="CW134" s="193"/>
      <c r="CX134" s="193"/>
      <c r="CY134" s="193"/>
      <c r="CZ134" s="193"/>
      <c r="DA134" s="193"/>
      <c r="DB134" s="193"/>
      <c r="DC134" s="193"/>
      <c r="DD134" s="193"/>
      <c r="DE134" s="193"/>
      <c r="DF134" s="193"/>
      <c r="DG134" s="193"/>
      <c r="DH134" s="193"/>
      <c r="DI134" s="193"/>
      <c r="DJ134" s="193"/>
      <c r="DK134" s="193"/>
      <c r="DL134" s="193"/>
      <c r="DM134" s="193"/>
      <c r="DN134" s="193"/>
      <c r="DO134" s="193"/>
      <c r="DP134" s="193"/>
      <c r="DQ134" s="193"/>
      <c r="DR134" s="193"/>
      <c r="DS134" s="193"/>
      <c r="DT134" s="193"/>
      <c r="DU134" s="193"/>
      <c r="DV134" s="193"/>
      <c r="DW134" s="193"/>
      <c r="DX134" s="193"/>
      <c r="DY134" s="193"/>
      <c r="DZ134" s="193"/>
      <c r="EA134" s="193"/>
      <c r="EB134" s="193"/>
      <c r="EC134" s="193"/>
      <c r="ED134" s="193"/>
      <c r="EE134" s="193"/>
      <c r="EF134" s="193"/>
      <c r="EG134" s="193"/>
      <c r="EH134" s="193"/>
      <c r="EI134" s="193"/>
      <c r="EJ134" s="193"/>
      <c r="EK134" s="193"/>
      <c r="EL134" s="193"/>
      <c r="EM134" s="193"/>
      <c r="EN134" s="193"/>
      <c r="EO134" s="193"/>
      <c r="EP134" s="193"/>
      <c r="EQ134" s="193"/>
      <c r="ER134" s="193"/>
      <c r="ES134" s="193"/>
      <c r="ET134" s="193"/>
      <c r="EU134" s="193"/>
      <c r="EV134" s="193"/>
      <c r="EW134" s="193"/>
      <c r="EX134" s="193"/>
      <c r="EY134" s="193"/>
      <c r="EZ134" s="193"/>
      <c r="FA134" s="193"/>
      <c r="FB134" s="193"/>
      <c r="FC134" s="193"/>
      <c r="FD134" s="193"/>
      <c r="FE134" s="193"/>
      <c r="FF134" s="193"/>
      <c r="FG134" s="193"/>
      <c r="FH134" s="193"/>
      <c r="FI134" s="193"/>
      <c r="FJ134" s="193"/>
      <c r="FK134" s="193"/>
      <c r="FL134" s="193"/>
      <c r="FM134" s="193"/>
      <c r="FN134" s="193"/>
      <c r="FO134" s="193"/>
      <c r="FP134" s="193"/>
      <c r="FQ134" s="193"/>
      <c r="FR134" s="193"/>
      <c r="FS134" s="193"/>
      <c r="FT134" s="193"/>
      <c r="FU134" s="193"/>
      <c r="FV134" s="193"/>
      <c r="FW134" s="193"/>
      <c r="FX134" s="193"/>
      <c r="FY134" s="193"/>
      <c r="FZ134" s="193"/>
      <c r="GA134" s="193"/>
      <c r="GB134" s="193"/>
      <c r="GC134" s="193"/>
      <c r="GD134" s="193"/>
      <c r="GE134" s="193"/>
      <c r="GF134" s="193"/>
      <c r="GG134" s="193"/>
      <c r="GH134" s="193"/>
      <c r="GI134" s="193"/>
      <c r="GJ134" s="193"/>
      <c r="GK134" s="193"/>
      <c r="GL134" s="193"/>
      <c r="GM134" s="193"/>
      <c r="GN134" s="193"/>
      <c r="GO134" s="193"/>
      <c r="GP134" s="193"/>
      <c r="GQ134" s="193"/>
      <c r="GR134" s="193"/>
      <c r="GS134" s="193"/>
      <c r="GT134" s="193"/>
      <c r="GU134" s="193"/>
      <c r="GV134" s="193"/>
      <c r="GW134" s="193"/>
      <c r="GX134" s="193"/>
      <c r="GY134" s="193"/>
      <c r="GZ134" s="193"/>
      <c r="HA134" s="193"/>
      <c r="HB134" s="193"/>
      <c r="HC134" s="193"/>
      <c r="HD134" s="193"/>
      <c r="HE134" s="193"/>
      <c r="HF134" s="193"/>
      <c r="HG134" s="193"/>
      <c r="HH134" s="193"/>
      <c r="HI134" s="193"/>
      <c r="HJ134" s="193"/>
      <c r="HK134" s="193"/>
      <c r="HL134" s="193"/>
      <c r="HM134" s="193"/>
      <c r="HN134" s="193"/>
      <c r="HO134" s="193"/>
      <c r="HP134" s="193"/>
      <c r="HQ134" s="193"/>
      <c r="HR134" s="193"/>
      <c r="HS134" s="193"/>
      <c r="HT134" s="193"/>
      <c r="HU134" s="193"/>
      <c r="HV134" s="193"/>
      <c r="HW134" s="193"/>
      <c r="HX134" s="193"/>
      <c r="HY134" s="193"/>
      <c r="HZ134" s="193"/>
      <c r="IA134" s="193"/>
      <c r="IB134" s="193"/>
      <c r="IC134" s="193"/>
      <c r="ID134" s="193"/>
      <c r="IE134" s="193"/>
      <c r="IF134" s="193"/>
      <c r="IG134" s="193"/>
      <c r="IH134" s="193"/>
      <c r="II134" s="193"/>
      <c r="IJ134" s="193"/>
      <c r="IK134" s="193"/>
      <c r="IL134" s="193"/>
      <c r="IM134" s="193"/>
      <c r="IN134" s="193"/>
      <c r="IO134" s="193"/>
      <c r="IP134" s="193"/>
      <c r="IQ134" s="193"/>
      <c r="IR134" s="193"/>
      <c r="IS134" s="193"/>
      <c r="IT134" s="193"/>
      <c r="IU134" s="193"/>
      <c r="IV134" s="193"/>
    </row>
    <row r="135" spans="1:256" s="45" customFormat="1" ht="16.5" customHeight="1" x14ac:dyDescent="0.2">
      <c r="A135" s="54" t="s">
        <v>241</v>
      </c>
      <c r="B135" s="58">
        <f>'Common-size FS'!B9</f>
        <v>2010</v>
      </c>
      <c r="C135" s="58">
        <f>B135+1</f>
        <v>2011</v>
      </c>
      <c r="D135" s="58">
        <f>C135+1</f>
        <v>2012</v>
      </c>
      <c r="E135" s="58">
        <f>D135+1</f>
        <v>2013</v>
      </c>
      <c r="F135" s="58">
        <f>E135+1</f>
        <v>2014</v>
      </c>
      <c r="G135" s="58">
        <f>F135+1</f>
        <v>2015</v>
      </c>
      <c r="H135" s="83" t="s">
        <v>523</v>
      </c>
      <c r="I135" s="677"/>
      <c r="J135" s="677"/>
      <c r="K135" s="677"/>
      <c r="L135" s="677"/>
      <c r="M135" s="677"/>
      <c r="N135" s="677"/>
      <c r="O135" s="677"/>
      <c r="P135" s="677"/>
      <c r="Q135" s="677"/>
      <c r="R135" s="677"/>
      <c r="S135" s="677"/>
      <c r="T135" s="677"/>
      <c r="U135" s="677"/>
      <c r="V135" s="677"/>
      <c r="W135" s="677"/>
      <c r="X135" s="677"/>
      <c r="Y135" s="677"/>
      <c r="Z135" s="677"/>
      <c r="AA135" s="193"/>
      <c r="AB135" s="193"/>
      <c r="AC135" s="193"/>
      <c r="AD135" s="193"/>
      <c r="AE135" s="193"/>
      <c r="AF135" s="193"/>
      <c r="AG135" s="193"/>
      <c r="AH135" s="193"/>
      <c r="AI135" s="193"/>
      <c r="AJ135" s="193"/>
      <c r="AK135" s="193"/>
      <c r="AL135" s="193"/>
      <c r="AM135" s="193"/>
      <c r="AN135" s="193"/>
      <c r="AO135" s="193"/>
      <c r="AP135" s="193"/>
      <c r="AQ135" s="193"/>
      <c r="AR135" s="193"/>
      <c r="AS135" s="193"/>
      <c r="AT135" s="193"/>
      <c r="AU135" s="193"/>
      <c r="AV135" s="193"/>
      <c r="AW135" s="193"/>
      <c r="AX135" s="193"/>
      <c r="AY135" s="193"/>
      <c r="AZ135" s="193"/>
      <c r="BA135" s="193"/>
      <c r="BB135" s="193"/>
      <c r="BC135" s="193"/>
      <c r="BD135" s="193"/>
      <c r="BE135" s="193"/>
      <c r="BF135" s="193"/>
      <c r="BG135" s="193"/>
      <c r="BH135" s="193"/>
      <c r="BI135" s="193"/>
      <c r="BJ135" s="193"/>
      <c r="BK135" s="193"/>
      <c r="BL135" s="193"/>
      <c r="BM135" s="193"/>
      <c r="BN135" s="193"/>
      <c r="BO135" s="193"/>
      <c r="BP135" s="193"/>
      <c r="BQ135" s="193"/>
      <c r="BR135" s="193"/>
      <c r="BS135" s="193"/>
      <c r="BT135" s="193"/>
      <c r="BU135" s="193"/>
      <c r="BV135" s="193"/>
      <c r="BW135" s="193"/>
      <c r="BX135" s="193"/>
      <c r="BY135" s="193"/>
      <c r="BZ135" s="193"/>
      <c r="CA135" s="193"/>
      <c r="CB135" s="193"/>
      <c r="CC135" s="193"/>
      <c r="CD135" s="193"/>
      <c r="CE135" s="193"/>
      <c r="CF135" s="193"/>
      <c r="CG135" s="193"/>
      <c r="CH135" s="193"/>
      <c r="CI135" s="193"/>
      <c r="CJ135" s="193"/>
      <c r="CK135" s="193"/>
      <c r="CL135" s="193"/>
      <c r="CM135" s="193"/>
      <c r="CN135" s="193"/>
      <c r="CO135" s="193"/>
      <c r="CP135" s="193"/>
      <c r="CQ135" s="193"/>
      <c r="CR135" s="193"/>
      <c r="CS135" s="193"/>
      <c r="CT135" s="193"/>
      <c r="CU135" s="193"/>
      <c r="CV135" s="193"/>
      <c r="CW135" s="193"/>
      <c r="CX135" s="193"/>
      <c r="CY135" s="193"/>
      <c r="CZ135" s="193"/>
      <c r="DA135" s="193"/>
      <c r="DB135" s="193"/>
      <c r="DC135" s="193"/>
      <c r="DD135" s="193"/>
      <c r="DE135" s="193"/>
      <c r="DF135" s="193"/>
      <c r="DG135" s="193"/>
      <c r="DH135" s="193"/>
      <c r="DI135" s="193"/>
      <c r="DJ135" s="193"/>
      <c r="DK135" s="193"/>
      <c r="DL135" s="193"/>
      <c r="DM135" s="193"/>
      <c r="DN135" s="193"/>
      <c r="DO135" s="193"/>
      <c r="DP135" s="193"/>
      <c r="DQ135" s="193"/>
      <c r="DR135" s="193"/>
      <c r="DS135" s="193"/>
      <c r="DT135" s="193"/>
      <c r="DU135" s="193"/>
      <c r="DV135" s="193"/>
      <c r="DW135" s="193"/>
      <c r="DX135" s="193"/>
      <c r="DY135" s="193"/>
      <c r="DZ135" s="193"/>
      <c r="EA135" s="193"/>
      <c r="EB135" s="193"/>
      <c r="EC135" s="193"/>
      <c r="ED135" s="193"/>
      <c r="EE135" s="193"/>
      <c r="EF135" s="193"/>
      <c r="EG135" s="193"/>
      <c r="EH135" s="193"/>
      <c r="EI135" s="193"/>
      <c r="EJ135" s="193"/>
      <c r="EK135" s="193"/>
      <c r="EL135" s="193"/>
      <c r="EM135" s="193"/>
      <c r="EN135" s="193"/>
      <c r="EO135" s="193"/>
      <c r="EP135" s="193"/>
      <c r="EQ135" s="193"/>
      <c r="ER135" s="193"/>
      <c r="ES135" s="193"/>
      <c r="ET135" s="193"/>
      <c r="EU135" s="193"/>
      <c r="EV135" s="193"/>
      <c r="EW135" s="193"/>
      <c r="EX135" s="193"/>
      <c r="EY135" s="193"/>
      <c r="EZ135" s="193"/>
      <c r="FA135" s="193"/>
      <c r="FB135" s="193"/>
      <c r="FC135" s="193"/>
      <c r="FD135" s="193"/>
      <c r="FE135" s="193"/>
      <c r="FF135" s="193"/>
      <c r="FG135" s="193"/>
      <c r="FH135" s="193"/>
      <c r="FI135" s="193"/>
      <c r="FJ135" s="193"/>
      <c r="FK135" s="193"/>
      <c r="FL135" s="193"/>
      <c r="FM135" s="193"/>
      <c r="FN135" s="193"/>
      <c r="FO135" s="193"/>
      <c r="FP135" s="193"/>
      <c r="FQ135" s="193"/>
      <c r="FR135" s="193"/>
      <c r="FS135" s="193"/>
      <c r="FT135" s="193"/>
      <c r="FU135" s="193"/>
      <c r="FV135" s="193"/>
      <c r="FW135" s="193"/>
      <c r="FX135" s="193"/>
      <c r="FY135" s="193"/>
      <c r="FZ135" s="193"/>
      <c r="GA135" s="193"/>
      <c r="GB135" s="193"/>
      <c r="GC135" s="193"/>
      <c r="GD135" s="193"/>
      <c r="GE135" s="193"/>
      <c r="GF135" s="193"/>
      <c r="GG135" s="193"/>
      <c r="GH135" s="193"/>
      <c r="GI135" s="193"/>
      <c r="GJ135" s="193"/>
      <c r="GK135" s="193"/>
      <c r="GL135" s="193"/>
      <c r="GM135" s="193"/>
      <c r="GN135" s="193"/>
      <c r="GO135" s="193"/>
      <c r="GP135" s="193"/>
      <c r="GQ135" s="193"/>
      <c r="GR135" s="193"/>
      <c r="GS135" s="193"/>
      <c r="GT135" s="193"/>
      <c r="GU135" s="193"/>
      <c r="GV135" s="193"/>
      <c r="GW135" s="193"/>
      <c r="GX135" s="193"/>
      <c r="GY135" s="193"/>
      <c r="GZ135" s="193"/>
      <c r="HA135" s="193"/>
      <c r="HB135" s="193"/>
      <c r="HC135" s="193"/>
      <c r="HD135" s="193"/>
      <c r="HE135" s="193"/>
      <c r="HF135" s="193"/>
      <c r="HG135" s="193"/>
      <c r="HH135" s="193"/>
      <c r="HI135" s="193"/>
      <c r="HJ135" s="193"/>
      <c r="HK135" s="193"/>
      <c r="HL135" s="193"/>
      <c r="HM135" s="193"/>
      <c r="HN135" s="193"/>
      <c r="HO135" s="193"/>
      <c r="HP135" s="193"/>
      <c r="HQ135" s="193"/>
      <c r="HR135" s="193"/>
      <c r="HS135" s="193"/>
      <c r="HT135" s="193"/>
      <c r="HU135" s="193"/>
      <c r="HV135" s="193"/>
      <c r="HW135" s="193"/>
      <c r="HX135" s="193"/>
      <c r="HY135" s="193"/>
      <c r="HZ135" s="193"/>
      <c r="IA135" s="193"/>
      <c r="IB135" s="193"/>
      <c r="IC135" s="193"/>
      <c r="ID135" s="193"/>
      <c r="IE135" s="193"/>
      <c r="IF135" s="193"/>
      <c r="IG135" s="193"/>
      <c r="IH135" s="193"/>
      <c r="II135" s="193"/>
      <c r="IJ135" s="193"/>
      <c r="IK135" s="193"/>
      <c r="IL135" s="193"/>
      <c r="IM135" s="193"/>
      <c r="IN135" s="193"/>
      <c r="IO135" s="193"/>
      <c r="IP135" s="193"/>
      <c r="IQ135" s="193"/>
      <c r="IR135" s="193"/>
      <c r="IS135" s="193"/>
      <c r="IT135" s="193"/>
      <c r="IU135" s="193"/>
      <c r="IV135" s="193"/>
    </row>
    <row r="136" spans="1:256" s="282" customFormat="1" ht="16.5" customHeight="1" x14ac:dyDescent="0.2">
      <c r="A136" s="205" t="s">
        <v>1064</v>
      </c>
      <c r="B136" s="285" t="s">
        <v>47</v>
      </c>
      <c r="C136" s="282">
        <f>ROUND(C137/C138,3)</f>
        <v>0.14599999999999999</v>
      </c>
      <c r="D136" s="282">
        <f>ROUND(D137/D138,3)</f>
        <v>0.13900000000000001</v>
      </c>
      <c r="E136" s="282">
        <f>ROUND(E137/E138,3)</f>
        <v>0.13300000000000001</v>
      </c>
      <c r="F136" s="282">
        <f>ROUND(F137/F138,3)</f>
        <v>0.111</v>
      </c>
      <c r="G136" s="282">
        <f>ROUND(G137/G138,3)</f>
        <v>9.1999999999999998E-2</v>
      </c>
      <c r="H136" s="1313" t="s">
        <v>1100</v>
      </c>
      <c r="I136" s="786"/>
      <c r="J136" s="786"/>
      <c r="K136" s="786"/>
      <c r="L136" s="786"/>
      <c r="M136" s="786"/>
      <c r="N136" s="786"/>
      <c r="O136" s="786"/>
      <c r="P136" s="786"/>
      <c r="Q136" s="786"/>
      <c r="R136" s="786"/>
      <c r="S136" s="786"/>
      <c r="T136" s="786"/>
      <c r="U136" s="786"/>
      <c r="V136" s="786"/>
      <c r="W136" s="786"/>
      <c r="X136" s="786"/>
      <c r="Y136" s="786"/>
      <c r="Z136" s="786"/>
      <c r="AA136" s="267"/>
      <c r="AB136" s="267"/>
      <c r="AC136" s="267"/>
      <c r="AD136" s="267"/>
      <c r="AE136" s="267"/>
      <c r="AF136" s="267"/>
      <c r="AG136" s="267"/>
      <c r="AH136" s="267"/>
      <c r="AI136" s="267"/>
      <c r="AJ136" s="267"/>
      <c r="AK136" s="267"/>
      <c r="AL136" s="267"/>
      <c r="AM136" s="267"/>
      <c r="AN136" s="267"/>
      <c r="AO136" s="267"/>
      <c r="AP136" s="267"/>
      <c r="AQ136" s="267"/>
      <c r="AR136" s="267"/>
      <c r="AS136" s="267"/>
      <c r="AT136" s="267"/>
      <c r="AU136" s="267"/>
      <c r="AV136" s="267"/>
      <c r="AW136" s="267"/>
      <c r="AX136" s="267"/>
      <c r="AY136" s="267"/>
      <c r="AZ136" s="267"/>
      <c r="BA136" s="267"/>
      <c r="BB136" s="267"/>
      <c r="BC136" s="267"/>
      <c r="BD136" s="267"/>
      <c r="BE136" s="267"/>
      <c r="BF136" s="267"/>
      <c r="BG136" s="267"/>
      <c r="BH136" s="267"/>
      <c r="BI136" s="267"/>
      <c r="BJ136" s="267"/>
      <c r="BK136" s="267"/>
      <c r="BL136" s="267"/>
      <c r="BM136" s="267"/>
      <c r="BN136" s="267"/>
      <c r="BO136" s="267"/>
      <c r="BP136" s="267"/>
      <c r="BQ136" s="267"/>
      <c r="BR136" s="267"/>
      <c r="BS136" s="267"/>
      <c r="BT136" s="267"/>
      <c r="BU136" s="267"/>
      <c r="BV136" s="267"/>
      <c r="BW136" s="267"/>
      <c r="BX136" s="267"/>
      <c r="BY136" s="267"/>
      <c r="BZ136" s="267"/>
      <c r="CA136" s="267"/>
      <c r="CB136" s="267"/>
      <c r="CC136" s="267"/>
      <c r="CD136" s="267"/>
      <c r="CE136" s="267"/>
      <c r="CF136" s="267"/>
      <c r="CG136" s="267"/>
      <c r="CH136" s="267"/>
      <c r="CI136" s="267"/>
      <c r="CJ136" s="267"/>
      <c r="CK136" s="267"/>
      <c r="CL136" s="267"/>
      <c r="CM136" s="267"/>
      <c r="CN136" s="267"/>
      <c r="CO136" s="267"/>
      <c r="CP136" s="267"/>
      <c r="CQ136" s="267"/>
      <c r="CR136" s="267"/>
      <c r="CS136" s="267"/>
      <c r="CT136" s="267"/>
      <c r="CU136" s="267"/>
      <c r="CV136" s="267"/>
      <c r="CW136" s="267"/>
      <c r="CX136" s="267"/>
      <c r="CY136" s="267"/>
      <c r="CZ136" s="267"/>
      <c r="DA136" s="267"/>
      <c r="DB136" s="267"/>
      <c r="DC136" s="267"/>
      <c r="DD136" s="267"/>
      <c r="DE136" s="267"/>
      <c r="DF136" s="267"/>
      <c r="DG136" s="267"/>
      <c r="DH136" s="267"/>
      <c r="DI136" s="267"/>
      <c r="DJ136" s="267"/>
      <c r="DK136" s="267"/>
      <c r="DL136" s="267"/>
      <c r="DM136" s="267"/>
      <c r="DN136" s="267"/>
      <c r="DO136" s="267"/>
      <c r="DP136" s="267"/>
      <c r="DQ136" s="267"/>
      <c r="DR136" s="267"/>
      <c r="DS136" s="267"/>
      <c r="DT136" s="267"/>
      <c r="DU136" s="267"/>
      <c r="DV136" s="267"/>
      <c r="DW136" s="267"/>
      <c r="DX136" s="267"/>
      <c r="DY136" s="267"/>
      <c r="DZ136" s="267"/>
      <c r="EA136" s="267"/>
      <c r="EB136" s="267"/>
      <c r="EC136" s="267"/>
      <c r="ED136" s="267"/>
      <c r="EE136" s="267"/>
      <c r="EF136" s="267"/>
      <c r="EG136" s="267"/>
      <c r="EH136" s="267"/>
      <c r="EI136" s="267"/>
      <c r="EJ136" s="267"/>
      <c r="EK136" s="267"/>
      <c r="EL136" s="267"/>
      <c r="EM136" s="267"/>
      <c r="EN136" s="267"/>
      <c r="EO136" s="267"/>
      <c r="EP136" s="267"/>
      <c r="EQ136" s="267"/>
      <c r="ER136" s="267"/>
      <c r="ES136" s="267"/>
      <c r="ET136" s="267"/>
      <c r="EU136" s="267"/>
      <c r="EV136" s="267"/>
      <c r="EW136" s="267"/>
      <c r="EX136" s="267"/>
      <c r="EY136" s="267"/>
      <c r="EZ136" s="267"/>
      <c r="FA136" s="267"/>
      <c r="FB136" s="267"/>
      <c r="FC136" s="267"/>
      <c r="FD136" s="267"/>
      <c r="FE136" s="267"/>
      <c r="FF136" s="267"/>
      <c r="FG136" s="267"/>
      <c r="FH136" s="267"/>
      <c r="FI136" s="267"/>
      <c r="FJ136" s="267"/>
      <c r="FK136" s="267"/>
      <c r="FL136" s="267"/>
      <c r="FM136" s="267"/>
      <c r="FN136" s="267"/>
      <c r="FO136" s="267"/>
      <c r="FP136" s="267"/>
      <c r="FQ136" s="267"/>
      <c r="FR136" s="267"/>
      <c r="FS136" s="267"/>
      <c r="FT136" s="267"/>
      <c r="FU136" s="267"/>
      <c r="FV136" s="267"/>
      <c r="FW136" s="267"/>
      <c r="FX136" s="267"/>
      <c r="FY136" s="267"/>
      <c r="FZ136" s="267"/>
      <c r="GA136" s="267"/>
      <c r="GB136" s="267"/>
      <c r="GC136" s="267"/>
      <c r="GD136" s="267"/>
      <c r="GE136" s="267"/>
      <c r="GF136" s="267"/>
      <c r="GG136" s="267"/>
      <c r="GH136" s="267"/>
      <c r="GI136" s="267"/>
      <c r="GJ136" s="267"/>
      <c r="GK136" s="267"/>
      <c r="GL136" s="267"/>
      <c r="GM136" s="267"/>
      <c r="GN136" s="267"/>
      <c r="GO136" s="267"/>
      <c r="GP136" s="267"/>
      <c r="GQ136" s="267"/>
      <c r="GR136" s="267"/>
      <c r="GS136" s="267"/>
      <c r="GT136" s="267"/>
      <c r="GU136" s="267"/>
      <c r="GV136" s="267"/>
      <c r="GW136" s="267"/>
      <c r="GX136" s="267"/>
      <c r="GY136" s="267"/>
      <c r="GZ136" s="267"/>
      <c r="HA136" s="267"/>
      <c r="HB136" s="267"/>
      <c r="HC136" s="267"/>
      <c r="HD136" s="267"/>
      <c r="HE136" s="267"/>
      <c r="HF136" s="267"/>
      <c r="HG136" s="267"/>
      <c r="HH136" s="267"/>
      <c r="HI136" s="267"/>
      <c r="HJ136" s="267"/>
      <c r="HK136" s="267"/>
      <c r="HL136" s="267"/>
      <c r="HM136" s="267"/>
      <c r="HN136" s="267"/>
      <c r="HO136" s="267"/>
      <c r="HP136" s="267"/>
      <c r="HQ136" s="267"/>
      <c r="HR136" s="267"/>
      <c r="HS136" s="267"/>
      <c r="HT136" s="267"/>
      <c r="HU136" s="267"/>
      <c r="HV136" s="267"/>
      <c r="HW136" s="267"/>
      <c r="HX136" s="267"/>
      <c r="HY136" s="267"/>
      <c r="HZ136" s="267"/>
      <c r="IA136" s="267"/>
      <c r="IB136" s="267"/>
      <c r="IC136" s="267"/>
      <c r="ID136" s="267"/>
      <c r="IE136" s="267"/>
      <c r="IF136" s="267"/>
      <c r="IG136" s="267"/>
      <c r="IH136" s="267"/>
      <c r="II136" s="267"/>
      <c r="IJ136" s="267"/>
      <c r="IK136" s="267"/>
      <c r="IL136" s="267"/>
      <c r="IM136" s="267"/>
      <c r="IN136" s="267"/>
      <c r="IO136" s="267"/>
      <c r="IP136" s="267"/>
      <c r="IQ136" s="267"/>
      <c r="IR136" s="267"/>
      <c r="IS136" s="267"/>
      <c r="IT136" s="267"/>
      <c r="IU136" s="267"/>
      <c r="IV136" s="267"/>
    </row>
    <row r="137" spans="1:256" s="346" customFormat="1" ht="16.5" customHeight="1" x14ac:dyDescent="0.2">
      <c r="A137" s="32" t="s">
        <v>84</v>
      </c>
      <c r="B137" s="92" t="s">
        <v>47</v>
      </c>
      <c r="C137" s="381">
        <f>C117</f>
        <v>779.93618960802189</v>
      </c>
      <c r="D137" s="381">
        <f>D117</f>
        <v>815.75022624434393</v>
      </c>
      <c r="E137" s="381">
        <f>E117</f>
        <v>828.89230769230778</v>
      </c>
      <c r="F137" s="381">
        <f>F117</f>
        <v>778.967619047619</v>
      </c>
      <c r="G137" s="381">
        <f>G117</f>
        <v>608.52</v>
      </c>
      <c r="H137" s="1314"/>
      <c r="I137" s="718"/>
      <c r="J137" s="718"/>
      <c r="K137" s="718"/>
      <c r="L137" s="718"/>
      <c r="M137" s="718"/>
      <c r="N137" s="718"/>
      <c r="O137" s="718"/>
      <c r="P137" s="718"/>
      <c r="Q137" s="718"/>
      <c r="R137" s="718"/>
      <c r="S137" s="718"/>
      <c r="T137" s="718"/>
      <c r="U137" s="718"/>
      <c r="V137" s="718"/>
      <c r="W137" s="718"/>
      <c r="X137" s="718"/>
      <c r="Y137" s="718"/>
      <c r="Z137" s="718"/>
      <c r="AA137" s="96"/>
      <c r="AB137" s="96"/>
      <c r="AC137" s="96"/>
      <c r="AD137" s="96"/>
      <c r="AE137" s="96"/>
      <c r="AF137" s="96"/>
      <c r="AG137" s="96"/>
      <c r="AH137" s="96"/>
      <c r="AI137" s="96"/>
      <c r="AJ137" s="96"/>
      <c r="AK137" s="96"/>
      <c r="AL137" s="96"/>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c r="BN137" s="96"/>
      <c r="BO137" s="96"/>
      <c r="BP137" s="96"/>
      <c r="BQ137" s="96"/>
      <c r="BR137" s="96"/>
      <c r="BS137" s="96"/>
      <c r="BT137" s="96"/>
      <c r="BU137" s="96"/>
      <c r="BV137" s="96"/>
      <c r="BW137" s="96"/>
      <c r="BX137" s="96"/>
      <c r="BY137" s="96"/>
      <c r="BZ137" s="96"/>
      <c r="CA137" s="96"/>
      <c r="CB137" s="96"/>
      <c r="CC137" s="96"/>
      <c r="CD137" s="96"/>
      <c r="CE137" s="96"/>
      <c r="CF137" s="96"/>
      <c r="CG137" s="96"/>
      <c r="CH137" s="96"/>
      <c r="CI137" s="96"/>
      <c r="CJ137" s="96"/>
      <c r="CK137" s="96"/>
      <c r="CL137" s="96"/>
      <c r="CM137" s="96"/>
      <c r="CN137" s="96"/>
      <c r="CO137" s="96"/>
      <c r="CP137" s="96"/>
      <c r="CQ137" s="96"/>
      <c r="CR137" s="96"/>
      <c r="CS137" s="96"/>
      <c r="CT137" s="96"/>
      <c r="CU137" s="96"/>
      <c r="CV137" s="96"/>
      <c r="CW137" s="96"/>
      <c r="CX137" s="96"/>
      <c r="CY137" s="96"/>
      <c r="CZ137" s="96"/>
      <c r="DA137" s="96"/>
      <c r="DB137" s="96"/>
      <c r="DC137" s="96"/>
      <c r="DD137" s="96"/>
      <c r="DE137" s="96"/>
      <c r="DF137" s="96"/>
      <c r="DG137" s="96"/>
      <c r="DH137" s="96"/>
      <c r="DI137" s="96"/>
      <c r="DJ137" s="96"/>
      <c r="DK137" s="96"/>
      <c r="DL137" s="96"/>
      <c r="DM137" s="96"/>
      <c r="DN137" s="96"/>
      <c r="DO137" s="96"/>
      <c r="DP137" s="96"/>
      <c r="DQ137" s="96"/>
      <c r="DR137" s="96"/>
      <c r="DS137" s="96"/>
      <c r="DT137" s="96"/>
      <c r="DU137" s="96"/>
      <c r="DV137" s="96"/>
      <c r="DW137" s="96"/>
      <c r="DX137" s="96"/>
      <c r="DY137" s="96"/>
      <c r="DZ137" s="96"/>
      <c r="EA137" s="96"/>
      <c r="EB137" s="96"/>
      <c r="EC137" s="96"/>
      <c r="ED137" s="96"/>
      <c r="EE137" s="96"/>
      <c r="EF137" s="96"/>
      <c r="EG137" s="96"/>
      <c r="EH137" s="96"/>
      <c r="EI137" s="96"/>
      <c r="EJ137" s="96"/>
      <c r="EK137" s="96"/>
      <c r="EL137" s="96"/>
      <c r="EM137" s="96"/>
      <c r="EN137" s="96"/>
      <c r="EO137" s="96"/>
      <c r="EP137" s="96"/>
      <c r="EQ137" s="96"/>
      <c r="ER137" s="96"/>
      <c r="ES137" s="96"/>
      <c r="ET137" s="96"/>
      <c r="EU137" s="96"/>
      <c r="EV137" s="96"/>
      <c r="EW137" s="96"/>
      <c r="EX137" s="96"/>
      <c r="EY137" s="96"/>
      <c r="EZ137" s="96"/>
      <c r="FA137" s="96"/>
      <c r="FB137" s="96"/>
      <c r="FC137" s="96"/>
      <c r="FD137" s="96"/>
      <c r="FE137" s="96"/>
      <c r="FF137" s="96"/>
      <c r="FG137" s="96"/>
      <c r="FH137" s="96"/>
      <c r="FI137" s="96"/>
      <c r="FJ137" s="96"/>
      <c r="FK137" s="96"/>
      <c r="FL137" s="96"/>
      <c r="FM137" s="96"/>
      <c r="FN137" s="96"/>
      <c r="FO137" s="96"/>
      <c r="FP137" s="96"/>
      <c r="FQ137" s="96"/>
      <c r="FR137" s="96"/>
      <c r="FS137" s="96"/>
      <c r="FT137" s="96"/>
      <c r="FU137" s="96"/>
      <c r="FV137" s="96"/>
      <c r="FW137" s="96"/>
      <c r="FX137" s="96"/>
      <c r="FY137" s="96"/>
      <c r="FZ137" s="96"/>
      <c r="GA137" s="96"/>
      <c r="GB137" s="96"/>
      <c r="GC137" s="96"/>
      <c r="GD137" s="96"/>
      <c r="GE137" s="96"/>
      <c r="GF137" s="96"/>
      <c r="GG137" s="96"/>
      <c r="GH137" s="96"/>
      <c r="GI137" s="96"/>
      <c r="GJ137" s="96"/>
      <c r="GK137" s="96"/>
      <c r="GL137" s="96"/>
      <c r="GM137" s="96"/>
      <c r="GN137" s="96"/>
      <c r="GO137" s="96"/>
      <c r="GP137" s="96"/>
      <c r="GQ137" s="96"/>
      <c r="GR137" s="96"/>
      <c r="GS137" s="96"/>
      <c r="GT137" s="96"/>
      <c r="GU137" s="96"/>
      <c r="GV137" s="96"/>
      <c r="GW137" s="96"/>
      <c r="GX137" s="96"/>
      <c r="GY137" s="96"/>
      <c r="GZ137" s="96"/>
      <c r="HA137" s="96"/>
      <c r="HB137" s="96"/>
      <c r="HC137" s="96"/>
      <c r="HD137" s="96"/>
      <c r="HE137" s="96"/>
      <c r="HF137" s="96"/>
      <c r="HG137" s="96"/>
      <c r="HH137" s="96"/>
      <c r="HI137" s="96"/>
      <c r="HJ137" s="96"/>
      <c r="HK137" s="96"/>
      <c r="HL137" s="96"/>
      <c r="HM137" s="96"/>
      <c r="HN137" s="96"/>
      <c r="HO137" s="96"/>
      <c r="HP137" s="96"/>
      <c r="HQ137" s="96"/>
      <c r="HR137" s="96"/>
      <c r="HS137" s="96"/>
      <c r="HT137" s="96"/>
      <c r="HU137" s="96"/>
      <c r="HV137" s="96"/>
      <c r="HW137" s="96"/>
      <c r="HX137" s="96"/>
      <c r="HY137" s="96"/>
      <c r="HZ137" s="96"/>
      <c r="IA137" s="96"/>
      <c r="IB137" s="96"/>
      <c r="IC137" s="96"/>
      <c r="ID137" s="96"/>
      <c r="IE137" s="96"/>
      <c r="IF137" s="96"/>
      <c r="IG137" s="96"/>
      <c r="IH137" s="96"/>
      <c r="II137" s="96"/>
      <c r="IJ137" s="96"/>
      <c r="IK137" s="96"/>
      <c r="IL137" s="96"/>
      <c r="IM137" s="96"/>
      <c r="IN137" s="96"/>
      <c r="IO137" s="96"/>
      <c r="IP137" s="96"/>
      <c r="IQ137" s="96"/>
      <c r="IR137" s="96"/>
      <c r="IS137" s="96"/>
      <c r="IT137" s="96"/>
      <c r="IU137" s="96"/>
      <c r="IV137" s="96"/>
    </row>
    <row r="138" spans="1:256" s="495" customFormat="1" ht="16.5" customHeight="1" x14ac:dyDescent="0.2">
      <c r="A138" s="75" t="s">
        <v>502</v>
      </c>
      <c r="B138" s="277" t="s">
        <v>47</v>
      </c>
      <c r="C138" s="75">
        <f>C35</f>
        <v>5360</v>
      </c>
      <c r="D138" s="75">
        <f>D35</f>
        <v>5860</v>
      </c>
      <c r="E138" s="75">
        <f>E35</f>
        <v>6220</v>
      </c>
      <c r="F138" s="75">
        <f>F35</f>
        <v>7020</v>
      </c>
      <c r="G138" s="75">
        <f>G35</f>
        <v>6640</v>
      </c>
      <c r="H138" s="1315"/>
      <c r="I138" s="725"/>
      <c r="J138" s="725"/>
      <c r="K138" s="725"/>
      <c r="L138" s="725"/>
      <c r="M138" s="725"/>
      <c r="N138" s="725"/>
      <c r="O138" s="725"/>
      <c r="P138" s="725"/>
      <c r="Q138" s="725"/>
      <c r="R138" s="725"/>
      <c r="S138" s="725"/>
      <c r="T138" s="725"/>
      <c r="U138" s="725"/>
      <c r="V138" s="725"/>
      <c r="W138" s="725"/>
      <c r="X138" s="725"/>
      <c r="Y138" s="725"/>
      <c r="Z138" s="725"/>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49"/>
      <c r="DA138" s="149"/>
      <c r="DB138" s="149"/>
      <c r="DC138" s="149"/>
      <c r="DD138" s="149"/>
      <c r="DE138" s="149"/>
      <c r="DF138" s="149"/>
      <c r="DG138" s="149"/>
      <c r="DH138" s="149"/>
      <c r="DI138" s="149"/>
      <c r="DJ138" s="149"/>
      <c r="DK138" s="149"/>
      <c r="DL138" s="149"/>
      <c r="DM138" s="149"/>
      <c r="DN138" s="149"/>
      <c r="DO138" s="149"/>
      <c r="DP138" s="149"/>
      <c r="DQ138" s="149"/>
      <c r="DR138" s="149"/>
      <c r="DS138" s="149"/>
      <c r="DT138" s="149"/>
      <c r="DU138" s="149"/>
      <c r="DV138" s="149"/>
      <c r="DW138" s="149"/>
      <c r="DX138" s="149"/>
      <c r="DY138" s="149"/>
      <c r="DZ138" s="149"/>
      <c r="EA138" s="149"/>
      <c r="EB138" s="149"/>
      <c r="EC138" s="149"/>
      <c r="ED138" s="149"/>
      <c r="EE138" s="149"/>
      <c r="EF138" s="149"/>
      <c r="EG138" s="149"/>
      <c r="EH138" s="149"/>
      <c r="EI138" s="149"/>
      <c r="EJ138" s="149"/>
      <c r="EK138" s="149"/>
      <c r="EL138" s="149"/>
      <c r="EM138" s="149"/>
      <c r="EN138" s="149"/>
      <c r="EO138" s="149"/>
      <c r="EP138" s="149"/>
      <c r="EQ138" s="149"/>
      <c r="ER138" s="149"/>
      <c r="ES138" s="149"/>
      <c r="ET138" s="149"/>
      <c r="EU138" s="149"/>
      <c r="EV138" s="149"/>
      <c r="EW138" s="149"/>
      <c r="EX138" s="149"/>
      <c r="EY138" s="149"/>
      <c r="EZ138" s="149"/>
      <c r="FA138" s="149"/>
      <c r="FB138" s="149"/>
      <c r="FC138" s="149"/>
      <c r="FD138" s="149"/>
      <c r="FE138" s="149"/>
      <c r="FF138" s="149"/>
      <c r="FG138" s="149"/>
      <c r="FH138" s="149"/>
      <c r="FI138" s="149"/>
      <c r="FJ138" s="149"/>
      <c r="FK138" s="149"/>
      <c r="FL138" s="149"/>
      <c r="FM138" s="149"/>
      <c r="FN138" s="149"/>
      <c r="FO138" s="149"/>
      <c r="FP138" s="149"/>
      <c r="FQ138" s="149"/>
      <c r="FR138" s="149"/>
      <c r="FS138" s="149"/>
      <c r="FT138" s="149"/>
      <c r="FU138" s="149"/>
      <c r="FV138" s="149"/>
      <c r="FW138" s="149"/>
      <c r="FX138" s="149"/>
      <c r="FY138" s="149"/>
      <c r="FZ138" s="149"/>
      <c r="GA138" s="149"/>
      <c r="GB138" s="149"/>
      <c r="GC138" s="149"/>
      <c r="GD138" s="149"/>
      <c r="GE138" s="149"/>
      <c r="GF138" s="149"/>
      <c r="GG138" s="149"/>
      <c r="GH138" s="149"/>
      <c r="GI138" s="149"/>
      <c r="GJ138" s="149"/>
      <c r="GK138" s="149"/>
      <c r="GL138" s="149"/>
      <c r="GM138" s="149"/>
      <c r="GN138" s="149"/>
      <c r="GO138" s="149"/>
      <c r="GP138" s="149"/>
      <c r="GQ138" s="149"/>
      <c r="GR138" s="149"/>
      <c r="GS138" s="149"/>
      <c r="GT138" s="149"/>
      <c r="GU138" s="149"/>
      <c r="GV138" s="149"/>
      <c r="GW138" s="149"/>
      <c r="GX138" s="149"/>
      <c r="GY138" s="149"/>
      <c r="GZ138" s="149"/>
      <c r="HA138" s="149"/>
      <c r="HB138" s="149"/>
      <c r="HC138" s="149"/>
      <c r="HD138" s="149"/>
      <c r="HE138" s="149"/>
      <c r="HF138" s="149"/>
      <c r="HG138" s="149"/>
      <c r="HH138" s="149"/>
      <c r="HI138" s="149"/>
      <c r="HJ138" s="149"/>
      <c r="HK138" s="149"/>
      <c r="HL138" s="149"/>
      <c r="HM138" s="149"/>
      <c r="HN138" s="149"/>
      <c r="HO138" s="149"/>
      <c r="HP138" s="149"/>
      <c r="HQ138" s="149"/>
      <c r="HR138" s="149"/>
      <c r="HS138" s="149"/>
      <c r="HT138" s="149"/>
      <c r="HU138" s="149"/>
      <c r="HV138" s="149"/>
      <c r="HW138" s="149"/>
      <c r="HX138" s="149"/>
      <c r="HY138" s="149"/>
      <c r="HZ138" s="149"/>
      <c r="IA138" s="149"/>
      <c r="IB138" s="149"/>
      <c r="IC138" s="149"/>
      <c r="ID138" s="149"/>
      <c r="IE138" s="149"/>
      <c r="IF138" s="149"/>
      <c r="IG138" s="149"/>
      <c r="IH138" s="149"/>
      <c r="II138" s="149"/>
      <c r="IJ138" s="149"/>
      <c r="IK138" s="149"/>
      <c r="IL138" s="149"/>
      <c r="IM138" s="149"/>
      <c r="IN138" s="149"/>
      <c r="IO138" s="149"/>
      <c r="IP138" s="149"/>
      <c r="IQ138" s="149"/>
      <c r="IR138" s="149"/>
      <c r="IS138" s="149"/>
      <c r="IT138" s="149"/>
      <c r="IU138" s="149"/>
      <c r="IV138" s="149"/>
    </row>
    <row r="139" spans="1:256" s="427" customFormat="1" ht="18" customHeight="1" x14ac:dyDescent="0.2">
      <c r="A139" s="286" t="s">
        <v>85</v>
      </c>
      <c r="B139" s="288"/>
      <c r="C139" s="287"/>
      <c r="D139" s="287"/>
      <c r="E139" s="287"/>
      <c r="F139" s="287"/>
      <c r="G139" s="287"/>
      <c r="H139" s="288"/>
      <c r="I139" s="1059"/>
      <c r="J139" s="1059"/>
      <c r="K139" s="1059"/>
      <c r="L139" s="1059"/>
      <c r="M139" s="1059"/>
      <c r="N139" s="1059"/>
      <c r="O139" s="1059"/>
      <c r="P139" s="1059"/>
      <c r="Q139" s="1059"/>
      <c r="R139" s="1059"/>
      <c r="S139" s="1059"/>
      <c r="T139" s="1059"/>
      <c r="U139" s="1059"/>
      <c r="V139" s="1059"/>
      <c r="W139" s="1059"/>
      <c r="X139" s="1059"/>
      <c r="Y139" s="1059"/>
      <c r="Z139" s="1059"/>
      <c r="AA139" s="287"/>
      <c r="AB139" s="287"/>
      <c r="AC139" s="287"/>
      <c r="AD139" s="287"/>
      <c r="AE139" s="287"/>
      <c r="AF139" s="287"/>
      <c r="AG139" s="287"/>
      <c r="AH139" s="287"/>
      <c r="AI139" s="287"/>
      <c r="AJ139" s="287"/>
      <c r="AK139" s="287"/>
      <c r="AL139" s="287"/>
      <c r="AM139" s="287"/>
      <c r="AN139" s="287"/>
      <c r="AO139" s="287"/>
      <c r="AP139" s="287"/>
      <c r="AQ139" s="287"/>
      <c r="AR139" s="287"/>
      <c r="AS139" s="287"/>
      <c r="AT139" s="287"/>
      <c r="AU139" s="287"/>
      <c r="AV139" s="287"/>
      <c r="AW139" s="287"/>
      <c r="AX139" s="287"/>
      <c r="AY139" s="287"/>
      <c r="AZ139" s="287"/>
      <c r="BA139" s="287"/>
      <c r="BB139" s="287"/>
      <c r="BC139" s="287"/>
      <c r="BD139" s="287"/>
      <c r="BE139" s="287"/>
      <c r="BF139" s="287"/>
      <c r="BG139" s="287"/>
      <c r="BH139" s="287"/>
      <c r="BI139" s="287"/>
      <c r="BJ139" s="287"/>
      <c r="BK139" s="287"/>
      <c r="BL139" s="287"/>
      <c r="BM139" s="287"/>
      <c r="BN139" s="287"/>
      <c r="BO139" s="287"/>
      <c r="BP139" s="287"/>
      <c r="BQ139" s="287"/>
      <c r="BR139" s="287"/>
      <c r="BS139" s="287"/>
      <c r="BT139" s="287"/>
      <c r="BU139" s="287"/>
      <c r="BV139" s="287"/>
      <c r="BW139" s="287"/>
      <c r="BX139" s="287"/>
      <c r="BY139" s="287"/>
      <c r="BZ139" s="287"/>
      <c r="CA139" s="287"/>
      <c r="CB139" s="287"/>
      <c r="CC139" s="287"/>
      <c r="CD139" s="287"/>
      <c r="CE139" s="287"/>
      <c r="CF139" s="287"/>
      <c r="CG139" s="287"/>
      <c r="CH139" s="287"/>
      <c r="CI139" s="287"/>
      <c r="CJ139" s="287"/>
      <c r="CK139" s="287"/>
      <c r="CL139" s="287"/>
      <c r="CM139" s="287"/>
      <c r="CN139" s="287"/>
      <c r="CO139" s="287"/>
      <c r="CP139" s="287"/>
      <c r="CQ139" s="287"/>
      <c r="CR139" s="287"/>
      <c r="CS139" s="287"/>
      <c r="CT139" s="287"/>
      <c r="CU139" s="287"/>
      <c r="CV139" s="287"/>
      <c r="CW139" s="287"/>
      <c r="CX139" s="287"/>
      <c r="CY139" s="287"/>
      <c r="CZ139" s="287"/>
      <c r="DA139" s="287"/>
      <c r="DB139" s="287"/>
      <c r="DC139" s="287"/>
      <c r="DD139" s="287"/>
      <c r="DE139" s="287"/>
      <c r="DF139" s="287"/>
      <c r="DG139" s="287"/>
      <c r="DH139" s="287"/>
      <c r="DI139" s="287"/>
      <c r="DJ139" s="287"/>
      <c r="DK139" s="287"/>
      <c r="DL139" s="287"/>
      <c r="DM139" s="287"/>
      <c r="DN139" s="287"/>
      <c r="DO139" s="287"/>
      <c r="DP139" s="287"/>
      <c r="DQ139" s="287"/>
      <c r="DR139" s="287"/>
      <c r="DS139" s="287"/>
      <c r="DT139" s="287"/>
      <c r="DU139" s="287"/>
      <c r="DV139" s="287"/>
      <c r="DW139" s="287"/>
      <c r="DX139" s="287"/>
      <c r="DY139" s="287"/>
      <c r="DZ139" s="287"/>
      <c r="EA139" s="287"/>
      <c r="EB139" s="287"/>
      <c r="EC139" s="287"/>
      <c r="ED139" s="287"/>
      <c r="EE139" s="287"/>
      <c r="EF139" s="287"/>
      <c r="EG139" s="287"/>
      <c r="EH139" s="287"/>
      <c r="EI139" s="287"/>
      <c r="EJ139" s="287"/>
      <c r="EK139" s="287"/>
      <c r="EL139" s="287"/>
      <c r="EM139" s="287"/>
      <c r="EN139" s="287"/>
      <c r="EO139" s="287"/>
      <c r="EP139" s="287"/>
      <c r="EQ139" s="287"/>
      <c r="ER139" s="287"/>
      <c r="ES139" s="287"/>
      <c r="ET139" s="287"/>
      <c r="EU139" s="287"/>
      <c r="EV139" s="287"/>
      <c r="EW139" s="287"/>
      <c r="EX139" s="287"/>
      <c r="EY139" s="287"/>
      <c r="EZ139" s="287"/>
      <c r="FA139" s="287"/>
      <c r="FB139" s="287"/>
      <c r="FC139" s="287"/>
      <c r="FD139" s="287"/>
      <c r="FE139" s="287"/>
      <c r="FF139" s="287"/>
      <c r="FG139" s="287"/>
      <c r="FH139" s="287"/>
      <c r="FI139" s="287"/>
      <c r="FJ139" s="287"/>
      <c r="FK139" s="287"/>
      <c r="FL139" s="287"/>
      <c r="FM139" s="287"/>
      <c r="FN139" s="287"/>
      <c r="FO139" s="287"/>
      <c r="FP139" s="287"/>
      <c r="FQ139" s="287"/>
      <c r="FR139" s="287"/>
      <c r="FS139" s="287"/>
      <c r="FT139" s="287"/>
      <c r="FU139" s="287"/>
      <c r="FV139" s="287"/>
      <c r="FW139" s="287"/>
      <c r="FX139" s="287"/>
      <c r="FY139" s="287"/>
      <c r="FZ139" s="287"/>
      <c r="GA139" s="287"/>
      <c r="GB139" s="287"/>
      <c r="GC139" s="287"/>
      <c r="GD139" s="287"/>
      <c r="GE139" s="287"/>
      <c r="GF139" s="287"/>
      <c r="GG139" s="287"/>
      <c r="GH139" s="287"/>
      <c r="GI139" s="287"/>
      <c r="GJ139" s="287"/>
      <c r="GK139" s="287"/>
      <c r="GL139" s="287"/>
      <c r="GM139" s="287"/>
      <c r="GN139" s="287"/>
      <c r="GO139" s="287"/>
      <c r="GP139" s="287"/>
      <c r="GQ139" s="287"/>
      <c r="GR139" s="287"/>
      <c r="GS139" s="287"/>
      <c r="GT139" s="287"/>
      <c r="GU139" s="287"/>
      <c r="GV139" s="287"/>
      <c r="GW139" s="287"/>
      <c r="GX139" s="287"/>
      <c r="GY139" s="287"/>
      <c r="GZ139" s="287"/>
      <c r="HA139" s="287"/>
      <c r="HB139" s="287"/>
      <c r="HC139" s="287"/>
      <c r="HD139" s="287"/>
      <c r="HE139" s="287"/>
      <c r="HF139" s="287"/>
      <c r="HG139" s="287"/>
      <c r="HH139" s="287"/>
      <c r="HI139" s="287"/>
      <c r="HJ139" s="287"/>
      <c r="HK139" s="287"/>
      <c r="HL139" s="287"/>
      <c r="HM139" s="287"/>
      <c r="HN139" s="287"/>
      <c r="HO139" s="287"/>
      <c r="HP139" s="287"/>
      <c r="HQ139" s="287"/>
      <c r="HR139" s="287"/>
      <c r="HS139" s="287"/>
      <c r="HT139" s="287"/>
      <c r="HU139" s="287"/>
      <c r="HV139" s="287"/>
      <c r="HW139" s="287"/>
      <c r="HX139" s="287"/>
      <c r="HY139" s="287"/>
      <c r="HZ139" s="287"/>
      <c r="IA139" s="287"/>
      <c r="IB139" s="287"/>
      <c r="IC139" s="287"/>
      <c r="ID139" s="287"/>
      <c r="IE139" s="287"/>
      <c r="IF139" s="287"/>
      <c r="IG139" s="287"/>
      <c r="IH139" s="287"/>
      <c r="II139" s="287"/>
      <c r="IJ139" s="287"/>
      <c r="IK139" s="287"/>
      <c r="IL139" s="287"/>
      <c r="IM139" s="287"/>
      <c r="IN139" s="287"/>
      <c r="IO139" s="287"/>
      <c r="IP139" s="287"/>
      <c r="IQ139" s="287"/>
      <c r="IR139" s="287"/>
      <c r="IS139" s="287"/>
      <c r="IT139" s="287"/>
      <c r="IU139" s="287"/>
      <c r="IV139" s="287"/>
    </row>
    <row r="140" spans="1:256" s="66" customFormat="1" ht="16.5" customHeight="1" x14ac:dyDescent="0.2">
      <c r="A140" s="512" t="s">
        <v>1020</v>
      </c>
      <c r="B140" s="280">
        <f t="shared" ref="B140:G140" si="23">ROUND(B141/B142,3)</f>
        <v>7.0999999999999994E-2</v>
      </c>
      <c r="C140" s="280">
        <f t="shared" si="23"/>
        <v>7.1999999999999995E-2</v>
      </c>
      <c r="D140" s="280">
        <f t="shared" si="23"/>
        <v>6.7000000000000004E-2</v>
      </c>
      <c r="E140" s="280">
        <f t="shared" si="23"/>
        <v>6.6000000000000003E-2</v>
      </c>
      <c r="F140" s="280">
        <f t="shared" si="23"/>
        <v>5.8000000000000003E-2</v>
      </c>
      <c r="G140" s="280">
        <f t="shared" si="23"/>
        <v>4.2000000000000003E-2</v>
      </c>
      <c r="H140" s="1347" t="s">
        <v>1101</v>
      </c>
      <c r="I140" s="726"/>
      <c r="J140" s="726"/>
      <c r="K140" s="726"/>
      <c r="L140" s="726"/>
      <c r="M140" s="726"/>
      <c r="N140" s="726"/>
      <c r="O140" s="726"/>
      <c r="P140" s="726"/>
      <c r="Q140" s="726"/>
      <c r="R140" s="726"/>
      <c r="S140" s="726"/>
      <c r="T140" s="726"/>
      <c r="U140" s="726"/>
      <c r="V140" s="726"/>
      <c r="W140" s="726"/>
      <c r="X140" s="726"/>
      <c r="Y140" s="726"/>
      <c r="Z140" s="726"/>
      <c r="AA140" s="226"/>
      <c r="AB140" s="226"/>
      <c r="AC140" s="226"/>
      <c r="AD140" s="226"/>
      <c r="AE140" s="226"/>
      <c r="AF140" s="226"/>
      <c r="AG140" s="226"/>
      <c r="AH140" s="226"/>
      <c r="AI140" s="226"/>
      <c r="AJ140" s="226"/>
      <c r="AK140" s="226"/>
      <c r="AL140" s="226"/>
      <c r="AM140" s="226"/>
      <c r="AN140" s="226"/>
      <c r="AO140" s="226"/>
      <c r="AP140" s="226"/>
      <c r="AQ140" s="226"/>
      <c r="AR140" s="226"/>
      <c r="AS140" s="226"/>
      <c r="AT140" s="226"/>
      <c r="AU140" s="226"/>
      <c r="AV140" s="226"/>
      <c r="AW140" s="226"/>
      <c r="AX140" s="226"/>
      <c r="AY140" s="226"/>
      <c r="AZ140" s="226"/>
      <c r="BA140" s="226"/>
      <c r="BB140" s="226"/>
      <c r="BC140" s="226"/>
      <c r="BD140" s="226"/>
      <c r="BE140" s="226"/>
      <c r="BF140" s="226"/>
      <c r="BG140" s="226"/>
      <c r="BH140" s="226"/>
      <c r="BI140" s="226"/>
      <c r="BJ140" s="226"/>
      <c r="BK140" s="226"/>
      <c r="BL140" s="226"/>
      <c r="BM140" s="226"/>
      <c r="BN140" s="226"/>
      <c r="BO140" s="226"/>
      <c r="BP140" s="226"/>
      <c r="BQ140" s="226"/>
      <c r="BR140" s="226"/>
      <c r="BS140" s="226"/>
      <c r="BT140" s="226"/>
      <c r="BU140" s="226"/>
      <c r="BV140" s="226"/>
      <c r="BW140" s="226"/>
      <c r="BX140" s="226"/>
      <c r="BY140" s="226"/>
      <c r="BZ140" s="226"/>
      <c r="CA140" s="226"/>
      <c r="CB140" s="226"/>
      <c r="CC140" s="226"/>
      <c r="CD140" s="226"/>
      <c r="CE140" s="226"/>
      <c r="CF140" s="226"/>
      <c r="CG140" s="226"/>
      <c r="CH140" s="226"/>
      <c r="CI140" s="226"/>
      <c r="CJ140" s="226"/>
      <c r="CK140" s="226"/>
      <c r="CL140" s="226"/>
      <c r="CM140" s="226"/>
      <c r="CN140" s="226"/>
      <c r="CO140" s="226"/>
      <c r="CP140" s="226"/>
      <c r="CQ140" s="226"/>
      <c r="CR140" s="226"/>
      <c r="CS140" s="226"/>
      <c r="CT140" s="226"/>
      <c r="CU140" s="226"/>
      <c r="CV140" s="226"/>
      <c r="CW140" s="226"/>
      <c r="CX140" s="226"/>
      <c r="CY140" s="226"/>
      <c r="CZ140" s="226"/>
      <c r="DA140" s="226"/>
      <c r="DB140" s="226"/>
      <c r="DC140" s="226"/>
      <c r="DD140" s="226"/>
      <c r="DE140" s="226"/>
      <c r="DF140" s="226"/>
      <c r="DG140" s="226"/>
      <c r="DH140" s="226"/>
      <c r="DI140" s="226"/>
      <c r="DJ140" s="226"/>
      <c r="DK140" s="226"/>
      <c r="DL140" s="226"/>
      <c r="DM140" s="226"/>
      <c r="DN140" s="226"/>
      <c r="DO140" s="226"/>
      <c r="DP140" s="226"/>
      <c r="DQ140" s="226"/>
      <c r="DR140" s="226"/>
      <c r="DS140" s="226"/>
      <c r="DT140" s="226"/>
      <c r="DU140" s="226"/>
      <c r="DV140" s="226"/>
      <c r="DW140" s="226"/>
      <c r="DX140" s="226"/>
      <c r="DY140" s="226"/>
      <c r="DZ140" s="226"/>
      <c r="EA140" s="226"/>
      <c r="EB140" s="226"/>
      <c r="EC140" s="226"/>
      <c r="ED140" s="226"/>
      <c r="EE140" s="226"/>
      <c r="EF140" s="226"/>
      <c r="EG140" s="226"/>
      <c r="EH140" s="226"/>
      <c r="EI140" s="226"/>
      <c r="EJ140" s="226"/>
      <c r="EK140" s="226"/>
      <c r="EL140" s="226"/>
      <c r="EM140" s="226"/>
      <c r="EN140" s="226"/>
      <c r="EO140" s="226"/>
      <c r="EP140" s="226"/>
      <c r="EQ140" s="226"/>
      <c r="ER140" s="226"/>
      <c r="ES140" s="226"/>
      <c r="ET140" s="226"/>
      <c r="EU140" s="226"/>
      <c r="EV140" s="226"/>
      <c r="EW140" s="226"/>
      <c r="EX140" s="226"/>
      <c r="EY140" s="226"/>
      <c r="EZ140" s="226"/>
      <c r="FA140" s="226"/>
      <c r="FB140" s="226"/>
      <c r="FC140" s="226"/>
      <c r="FD140" s="226"/>
      <c r="FE140" s="226"/>
      <c r="FF140" s="226"/>
      <c r="FG140" s="226"/>
      <c r="FH140" s="226"/>
      <c r="FI140" s="226"/>
      <c r="FJ140" s="226"/>
      <c r="FK140" s="226"/>
      <c r="FL140" s="226"/>
      <c r="FM140" s="226"/>
      <c r="FN140" s="226"/>
      <c r="FO140" s="226"/>
      <c r="FP140" s="226"/>
      <c r="FQ140" s="226"/>
      <c r="FR140" s="226"/>
      <c r="FS140" s="226"/>
      <c r="FT140" s="226"/>
      <c r="FU140" s="226"/>
      <c r="FV140" s="226"/>
      <c r="FW140" s="226"/>
      <c r="FX140" s="226"/>
      <c r="FY140" s="226"/>
      <c r="FZ140" s="226"/>
      <c r="GA140" s="226"/>
      <c r="GB140" s="226"/>
      <c r="GC140" s="226"/>
      <c r="GD140" s="226"/>
      <c r="GE140" s="226"/>
      <c r="GF140" s="226"/>
      <c r="GG140" s="226"/>
      <c r="GH140" s="226"/>
      <c r="GI140" s="226"/>
      <c r="GJ140" s="226"/>
      <c r="GK140" s="226"/>
      <c r="GL140" s="226"/>
      <c r="GM140" s="226"/>
      <c r="GN140" s="226"/>
      <c r="GO140" s="226"/>
      <c r="GP140" s="226"/>
      <c r="GQ140" s="226"/>
      <c r="GR140" s="226"/>
      <c r="GS140" s="226"/>
      <c r="GT140" s="226"/>
      <c r="GU140" s="226"/>
      <c r="GV140" s="226"/>
      <c r="GW140" s="226"/>
      <c r="GX140" s="226"/>
      <c r="GY140" s="226"/>
      <c r="GZ140" s="226"/>
      <c r="HA140" s="226"/>
      <c r="HB140" s="226"/>
      <c r="HC140" s="226"/>
      <c r="HD140" s="226"/>
      <c r="HE140" s="226"/>
      <c r="HF140" s="226"/>
      <c r="HG140" s="226"/>
      <c r="HH140" s="226"/>
      <c r="HI140" s="226"/>
      <c r="HJ140" s="226"/>
      <c r="HK140" s="226"/>
      <c r="HL140" s="226"/>
      <c r="HM140" s="226"/>
      <c r="HN140" s="226"/>
      <c r="HO140" s="226"/>
      <c r="HP140" s="226"/>
      <c r="HQ140" s="226"/>
      <c r="HR140" s="226"/>
      <c r="HS140" s="226"/>
      <c r="HT140" s="226"/>
      <c r="HU140" s="226"/>
      <c r="HV140" s="226"/>
      <c r="HW140" s="226"/>
      <c r="HX140" s="226"/>
      <c r="HY140" s="226"/>
      <c r="HZ140" s="226"/>
      <c r="IA140" s="226"/>
      <c r="IB140" s="226"/>
      <c r="IC140" s="226"/>
      <c r="ID140" s="226"/>
      <c r="IE140" s="226"/>
      <c r="IF140" s="226"/>
      <c r="IG140" s="226"/>
      <c r="IH140" s="226"/>
      <c r="II140" s="226"/>
      <c r="IJ140" s="226"/>
      <c r="IK140" s="226"/>
      <c r="IL140" s="226"/>
      <c r="IM140" s="226"/>
      <c r="IN140" s="226"/>
      <c r="IO140" s="226"/>
      <c r="IP140" s="226"/>
      <c r="IQ140" s="226"/>
      <c r="IR140" s="226"/>
      <c r="IS140" s="226"/>
      <c r="IT140" s="226"/>
      <c r="IU140" s="226"/>
      <c r="IV140" s="226"/>
    </row>
    <row r="141" spans="1:256" s="235" customFormat="1" ht="16.5" customHeight="1" x14ac:dyDescent="0.2">
      <c r="A141" s="32" t="s">
        <v>84</v>
      </c>
      <c r="B141" s="381">
        <f t="shared" ref="B141:G141" si="24">B117</f>
        <v>691.55802219979819</v>
      </c>
      <c r="C141" s="381">
        <f t="shared" si="24"/>
        <v>779.93618960802189</v>
      </c>
      <c r="D141" s="381">
        <f t="shared" si="24"/>
        <v>815.75022624434393</v>
      </c>
      <c r="E141" s="381">
        <f t="shared" si="24"/>
        <v>828.89230769230778</v>
      </c>
      <c r="F141" s="381">
        <f t="shared" si="24"/>
        <v>778.967619047619</v>
      </c>
      <c r="G141" s="381">
        <f t="shared" si="24"/>
        <v>608.52</v>
      </c>
      <c r="H141" s="1314"/>
      <c r="I141" s="718"/>
      <c r="J141" s="718"/>
      <c r="K141" s="718"/>
      <c r="L141" s="718"/>
      <c r="M141" s="718"/>
      <c r="N141" s="718"/>
      <c r="O141" s="718"/>
      <c r="P141" s="718"/>
      <c r="Q141" s="718"/>
      <c r="R141" s="718"/>
      <c r="S141" s="718"/>
      <c r="T141" s="718"/>
      <c r="U141" s="718"/>
      <c r="V141" s="718"/>
      <c r="W141" s="718"/>
      <c r="X141" s="718"/>
      <c r="Y141" s="718"/>
      <c r="Z141" s="718"/>
      <c r="AA141" s="96"/>
      <c r="AB141" s="96"/>
      <c r="AC141" s="96"/>
      <c r="AD141" s="96"/>
      <c r="AE141" s="96"/>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c r="BN141" s="96"/>
      <c r="BO141" s="96"/>
      <c r="BP141" s="96"/>
      <c r="BQ141" s="96"/>
      <c r="BR141" s="96"/>
      <c r="BS141" s="96"/>
      <c r="BT141" s="96"/>
      <c r="BU141" s="96"/>
      <c r="BV141" s="96"/>
      <c r="BW141" s="96"/>
      <c r="BX141" s="96"/>
      <c r="BY141" s="96"/>
      <c r="BZ141" s="96"/>
      <c r="CA141" s="96"/>
      <c r="CB141" s="96"/>
      <c r="CC141" s="96"/>
      <c r="CD141" s="96"/>
      <c r="CE141" s="96"/>
      <c r="CF141" s="96"/>
      <c r="CG141" s="96"/>
      <c r="CH141" s="96"/>
      <c r="CI141" s="96"/>
      <c r="CJ141" s="96"/>
      <c r="CK141" s="96"/>
      <c r="CL141" s="96"/>
      <c r="CM141" s="96"/>
      <c r="CN141" s="96"/>
      <c r="CO141" s="96"/>
      <c r="CP141" s="96"/>
      <c r="CQ141" s="96"/>
      <c r="CR141" s="96"/>
      <c r="CS141" s="96"/>
      <c r="CT141" s="96"/>
      <c r="CU141" s="96"/>
      <c r="CV141" s="96"/>
      <c r="CW141" s="96"/>
      <c r="CX141" s="96"/>
      <c r="CY141" s="96"/>
      <c r="CZ141" s="96"/>
      <c r="DA141" s="96"/>
      <c r="DB141" s="96"/>
      <c r="DC141" s="96"/>
      <c r="DD141" s="96"/>
      <c r="DE141" s="96"/>
      <c r="DF141" s="96"/>
      <c r="DG141" s="96"/>
      <c r="DH141" s="96"/>
      <c r="DI141" s="96"/>
      <c r="DJ141" s="96"/>
      <c r="DK141" s="96"/>
      <c r="DL141" s="96"/>
      <c r="DM141" s="96"/>
      <c r="DN141" s="96"/>
      <c r="DO141" s="96"/>
      <c r="DP141" s="96"/>
      <c r="DQ141" s="96"/>
      <c r="DR141" s="96"/>
      <c r="DS141" s="96"/>
      <c r="DT141" s="96"/>
      <c r="DU141" s="96"/>
      <c r="DV141" s="96"/>
      <c r="DW141" s="96"/>
      <c r="DX141" s="96"/>
      <c r="DY141" s="96"/>
      <c r="DZ141" s="96"/>
      <c r="EA141" s="96"/>
      <c r="EB141" s="96"/>
      <c r="EC141" s="96"/>
      <c r="ED141" s="96"/>
      <c r="EE141" s="96"/>
      <c r="EF141" s="96"/>
      <c r="EG141" s="96"/>
      <c r="EH141" s="96"/>
      <c r="EI141" s="96"/>
      <c r="EJ141" s="96"/>
      <c r="EK141" s="96"/>
      <c r="EL141" s="96"/>
      <c r="EM141" s="96"/>
      <c r="EN141" s="96"/>
      <c r="EO141" s="96"/>
      <c r="EP141" s="96"/>
      <c r="EQ141" s="96"/>
      <c r="ER141" s="96"/>
      <c r="ES141" s="96"/>
      <c r="ET141" s="96"/>
      <c r="EU141" s="96"/>
      <c r="EV141" s="96"/>
      <c r="EW141" s="96"/>
      <c r="EX141" s="96"/>
      <c r="EY141" s="96"/>
      <c r="EZ141" s="96"/>
      <c r="FA141" s="96"/>
      <c r="FB141" s="96"/>
      <c r="FC141" s="96"/>
      <c r="FD141" s="96"/>
      <c r="FE141" s="96"/>
      <c r="FF141" s="96"/>
      <c r="FG141" s="96"/>
      <c r="FH141" s="96"/>
      <c r="FI141" s="96"/>
      <c r="FJ141" s="96"/>
      <c r="FK141" s="96"/>
      <c r="FL141" s="96"/>
      <c r="FM141" s="96"/>
      <c r="FN141" s="96"/>
      <c r="FO141" s="96"/>
      <c r="FP141" s="96"/>
      <c r="FQ141" s="96"/>
      <c r="FR141" s="96"/>
      <c r="FS141" s="96"/>
      <c r="FT141" s="96"/>
      <c r="FU141" s="96"/>
      <c r="FV141" s="96"/>
      <c r="FW141" s="96"/>
      <c r="FX141" s="96"/>
      <c r="FY141" s="96"/>
      <c r="FZ141" s="96"/>
      <c r="GA141" s="96"/>
      <c r="GB141" s="96"/>
      <c r="GC141" s="96"/>
      <c r="GD141" s="96"/>
      <c r="GE141" s="96"/>
      <c r="GF141" s="96"/>
      <c r="GG141" s="96"/>
      <c r="GH141" s="96"/>
      <c r="GI141" s="96"/>
      <c r="GJ141" s="96"/>
      <c r="GK141" s="96"/>
      <c r="GL141" s="96"/>
      <c r="GM141" s="96"/>
      <c r="GN141" s="96"/>
      <c r="GO141" s="96"/>
      <c r="GP141" s="96"/>
      <c r="GQ141" s="96"/>
      <c r="GR141" s="96"/>
      <c r="GS141" s="96"/>
      <c r="GT141" s="96"/>
      <c r="GU141" s="96"/>
      <c r="GV141" s="96"/>
      <c r="GW141" s="96"/>
      <c r="GX141" s="96"/>
      <c r="GY141" s="96"/>
      <c r="GZ141" s="96"/>
      <c r="HA141" s="96"/>
      <c r="HB141" s="96"/>
      <c r="HC141" s="96"/>
      <c r="HD141" s="96"/>
      <c r="HE141" s="96"/>
      <c r="HF141" s="96"/>
      <c r="HG141" s="96"/>
      <c r="HH141" s="96"/>
      <c r="HI141" s="96"/>
      <c r="HJ141" s="96"/>
      <c r="HK141" s="96"/>
      <c r="HL141" s="96"/>
      <c r="HM141" s="96"/>
      <c r="HN141" s="96"/>
      <c r="HO141" s="96"/>
      <c r="HP141" s="96"/>
      <c r="HQ141" s="96"/>
      <c r="HR141" s="96"/>
      <c r="HS141" s="96"/>
      <c r="HT141" s="96"/>
      <c r="HU141" s="96"/>
      <c r="HV141" s="96"/>
      <c r="HW141" s="96"/>
      <c r="HX141" s="96"/>
      <c r="HY141" s="96"/>
      <c r="HZ141" s="96"/>
      <c r="IA141" s="96"/>
      <c r="IB141" s="96"/>
      <c r="IC141" s="96"/>
      <c r="ID141" s="96"/>
      <c r="IE141" s="96"/>
      <c r="IF141" s="96"/>
      <c r="IG141" s="96"/>
      <c r="IH141" s="96"/>
      <c r="II141" s="96"/>
      <c r="IJ141" s="96"/>
      <c r="IK141" s="96"/>
      <c r="IL141" s="96"/>
      <c r="IM141" s="96"/>
      <c r="IN141" s="96"/>
      <c r="IO141" s="96"/>
      <c r="IP141" s="96"/>
      <c r="IQ141" s="96"/>
      <c r="IR141" s="96"/>
      <c r="IS141" s="96"/>
      <c r="IT141" s="96"/>
      <c r="IU141" s="96"/>
      <c r="IV141" s="96"/>
    </row>
    <row r="142" spans="1:256" s="503" customFormat="1" ht="16.5" customHeight="1" x14ac:dyDescent="0.2">
      <c r="A142" s="32" t="s">
        <v>205</v>
      </c>
      <c r="B142" s="32">
        <f t="shared" ref="B142:G142" si="25">B75</f>
        <v>9700</v>
      </c>
      <c r="C142" s="32">
        <f t="shared" si="25"/>
        <v>10877</v>
      </c>
      <c r="D142" s="32">
        <f t="shared" si="25"/>
        <v>12148</v>
      </c>
      <c r="E142" s="32">
        <f t="shared" si="25"/>
        <v>12540</v>
      </c>
      <c r="F142" s="32">
        <f t="shared" si="25"/>
        <v>13506</v>
      </c>
      <c r="G142" s="32">
        <f t="shared" si="25"/>
        <v>14373</v>
      </c>
      <c r="H142" s="1315"/>
      <c r="I142" s="718"/>
      <c r="J142" s="718"/>
      <c r="K142" s="718"/>
      <c r="L142" s="718"/>
      <c r="M142" s="718"/>
      <c r="N142" s="718"/>
      <c r="O142" s="718"/>
      <c r="P142" s="718"/>
      <c r="Q142" s="718"/>
      <c r="R142" s="718"/>
      <c r="S142" s="718"/>
      <c r="T142" s="718"/>
      <c r="U142" s="718"/>
      <c r="V142" s="718"/>
      <c r="W142" s="718"/>
      <c r="X142" s="718"/>
      <c r="Y142" s="718"/>
      <c r="Z142" s="718"/>
      <c r="AA142" s="96"/>
      <c r="AB142" s="96"/>
      <c r="AC142" s="96"/>
      <c r="AD142" s="96"/>
      <c r="AE142" s="96"/>
      <c r="AF142" s="96"/>
      <c r="AG142" s="96"/>
      <c r="AH142" s="96"/>
      <c r="AI142" s="96"/>
      <c r="AJ142" s="96"/>
      <c r="AK142" s="96"/>
      <c r="AL142" s="96"/>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c r="BN142" s="96"/>
      <c r="BO142" s="96"/>
      <c r="BP142" s="96"/>
      <c r="BQ142" s="96"/>
      <c r="BR142" s="96"/>
      <c r="BS142" s="96"/>
      <c r="BT142" s="96"/>
      <c r="BU142" s="96"/>
      <c r="BV142" s="96"/>
      <c r="BW142" s="96"/>
      <c r="BX142" s="96"/>
      <c r="BY142" s="96"/>
      <c r="BZ142" s="96"/>
      <c r="CA142" s="96"/>
      <c r="CB142" s="96"/>
      <c r="CC142" s="96"/>
      <c r="CD142" s="96"/>
      <c r="CE142" s="96"/>
      <c r="CF142" s="96"/>
      <c r="CG142" s="96"/>
      <c r="CH142" s="96"/>
      <c r="CI142" s="96"/>
      <c r="CJ142" s="96"/>
      <c r="CK142" s="96"/>
      <c r="CL142" s="96"/>
      <c r="CM142" s="96"/>
      <c r="CN142" s="96"/>
      <c r="CO142" s="96"/>
      <c r="CP142" s="96"/>
      <c r="CQ142" s="96"/>
      <c r="CR142" s="96"/>
      <c r="CS142" s="96"/>
      <c r="CT142" s="96"/>
      <c r="CU142" s="96"/>
      <c r="CV142" s="96"/>
      <c r="CW142" s="96"/>
      <c r="CX142" s="96"/>
      <c r="CY142" s="96"/>
      <c r="CZ142" s="96"/>
      <c r="DA142" s="96"/>
      <c r="DB142" s="96"/>
      <c r="DC142" s="96"/>
      <c r="DD142" s="96"/>
      <c r="DE142" s="96"/>
      <c r="DF142" s="96"/>
      <c r="DG142" s="96"/>
      <c r="DH142" s="96"/>
      <c r="DI142" s="96"/>
      <c r="DJ142" s="96"/>
      <c r="DK142" s="96"/>
      <c r="DL142" s="96"/>
      <c r="DM142" s="96"/>
      <c r="DN142" s="96"/>
      <c r="DO142" s="96"/>
      <c r="DP142" s="96"/>
      <c r="DQ142" s="96"/>
      <c r="DR142" s="96"/>
      <c r="DS142" s="96"/>
      <c r="DT142" s="96"/>
      <c r="DU142" s="96"/>
      <c r="DV142" s="96"/>
      <c r="DW142" s="96"/>
      <c r="DX142" s="96"/>
      <c r="DY142" s="96"/>
      <c r="DZ142" s="96"/>
      <c r="EA142" s="96"/>
      <c r="EB142" s="96"/>
      <c r="EC142" s="96"/>
      <c r="ED142" s="96"/>
      <c r="EE142" s="96"/>
      <c r="EF142" s="96"/>
      <c r="EG142" s="96"/>
      <c r="EH142" s="96"/>
      <c r="EI142" s="96"/>
      <c r="EJ142" s="96"/>
      <c r="EK142" s="96"/>
      <c r="EL142" s="96"/>
      <c r="EM142" s="96"/>
      <c r="EN142" s="96"/>
      <c r="EO142" s="96"/>
      <c r="EP142" s="96"/>
      <c r="EQ142" s="96"/>
      <c r="ER142" s="96"/>
      <c r="ES142" s="96"/>
      <c r="ET142" s="96"/>
      <c r="EU142" s="96"/>
      <c r="EV142" s="96"/>
      <c r="EW142" s="96"/>
      <c r="EX142" s="96"/>
      <c r="EY142" s="96"/>
      <c r="EZ142" s="96"/>
      <c r="FA142" s="96"/>
      <c r="FB142" s="96"/>
      <c r="FC142" s="96"/>
      <c r="FD142" s="96"/>
      <c r="FE142" s="96"/>
      <c r="FF142" s="96"/>
      <c r="FG142" s="96"/>
      <c r="FH142" s="96"/>
      <c r="FI142" s="96"/>
      <c r="FJ142" s="96"/>
      <c r="FK142" s="96"/>
      <c r="FL142" s="96"/>
      <c r="FM142" s="96"/>
      <c r="FN142" s="96"/>
      <c r="FO142" s="96"/>
      <c r="FP142" s="96"/>
      <c r="FQ142" s="96"/>
      <c r="FR142" s="96"/>
      <c r="FS142" s="96"/>
      <c r="FT142" s="96"/>
      <c r="FU142" s="96"/>
      <c r="FV142" s="96"/>
      <c r="FW142" s="96"/>
      <c r="FX142" s="96"/>
      <c r="FY142" s="96"/>
      <c r="FZ142" s="96"/>
      <c r="GA142" s="96"/>
      <c r="GB142" s="96"/>
      <c r="GC142" s="96"/>
      <c r="GD142" s="96"/>
      <c r="GE142" s="96"/>
      <c r="GF142" s="96"/>
      <c r="GG142" s="96"/>
      <c r="GH142" s="96"/>
      <c r="GI142" s="96"/>
      <c r="GJ142" s="96"/>
      <c r="GK142" s="96"/>
      <c r="GL142" s="96"/>
      <c r="GM142" s="96"/>
      <c r="GN142" s="96"/>
      <c r="GO142" s="96"/>
      <c r="GP142" s="96"/>
      <c r="GQ142" s="96"/>
      <c r="GR142" s="96"/>
      <c r="GS142" s="96"/>
      <c r="GT142" s="96"/>
      <c r="GU142" s="96"/>
      <c r="GV142" s="96"/>
      <c r="GW142" s="96"/>
      <c r="GX142" s="96"/>
      <c r="GY142" s="96"/>
      <c r="GZ142" s="96"/>
      <c r="HA142" s="96"/>
      <c r="HB142" s="96"/>
      <c r="HC142" s="96"/>
      <c r="HD142" s="96"/>
      <c r="HE142" s="96"/>
      <c r="HF142" s="96"/>
      <c r="HG142" s="96"/>
      <c r="HH142" s="96"/>
      <c r="HI142" s="96"/>
      <c r="HJ142" s="96"/>
      <c r="HK142" s="96"/>
      <c r="HL142" s="96"/>
      <c r="HM142" s="96"/>
      <c r="HN142" s="96"/>
      <c r="HO142" s="96"/>
      <c r="HP142" s="96"/>
      <c r="HQ142" s="96"/>
      <c r="HR142" s="96"/>
      <c r="HS142" s="96"/>
      <c r="HT142" s="96"/>
      <c r="HU142" s="96"/>
      <c r="HV142" s="96"/>
      <c r="HW142" s="96"/>
      <c r="HX142" s="96"/>
      <c r="HY142" s="96"/>
      <c r="HZ142" s="96"/>
      <c r="IA142" s="96"/>
      <c r="IB142" s="96"/>
      <c r="IC142" s="96"/>
      <c r="ID142" s="96"/>
      <c r="IE142" s="96"/>
      <c r="IF142" s="96"/>
      <c r="IG142" s="96"/>
      <c r="IH142" s="96"/>
      <c r="II142" s="96"/>
      <c r="IJ142" s="96"/>
      <c r="IK142" s="96"/>
      <c r="IL142" s="96"/>
      <c r="IM142" s="96"/>
      <c r="IN142" s="96"/>
      <c r="IO142" s="96"/>
      <c r="IP142" s="96"/>
      <c r="IQ142" s="96"/>
      <c r="IR142" s="96"/>
      <c r="IS142" s="96"/>
      <c r="IT142" s="96"/>
      <c r="IU142" s="96"/>
      <c r="IV142" s="96"/>
    </row>
    <row r="143" spans="1:256" s="346" customFormat="1" ht="16.5" customHeight="1" x14ac:dyDescent="0.2">
      <c r="A143" s="502" t="s">
        <v>1019</v>
      </c>
      <c r="B143" s="90" t="s">
        <v>47</v>
      </c>
      <c r="C143" s="504">
        <f>ROUND(C144/C145,2)</f>
        <v>2.0299999999999998</v>
      </c>
      <c r="D143" s="504">
        <f>ROUND(D144/D145,2)</f>
        <v>2.0699999999999998</v>
      </c>
      <c r="E143" s="504">
        <f>ROUND(E144/E145,2)</f>
        <v>2.02</v>
      </c>
      <c r="F143" s="504">
        <f>ROUND(F144/F145,2)</f>
        <v>1.92</v>
      </c>
      <c r="G143" s="504">
        <f>ROUND(G144/G145,2)</f>
        <v>2.16</v>
      </c>
      <c r="H143" s="1313" t="s">
        <v>930</v>
      </c>
      <c r="I143" s="718"/>
      <c r="J143" s="718"/>
      <c r="K143" s="718"/>
      <c r="L143" s="718"/>
      <c r="M143" s="718"/>
      <c r="N143" s="718"/>
      <c r="O143" s="718"/>
      <c r="P143" s="718"/>
      <c r="Q143" s="718"/>
      <c r="R143" s="718"/>
      <c r="S143" s="718"/>
      <c r="T143" s="718"/>
      <c r="U143" s="718"/>
      <c r="V143" s="718"/>
      <c r="W143" s="718"/>
      <c r="X143" s="718"/>
      <c r="Y143" s="718"/>
      <c r="Z143" s="718"/>
      <c r="AA143" s="96"/>
      <c r="AB143" s="96"/>
      <c r="AC143" s="96"/>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c r="CA143" s="96"/>
      <c r="CB143" s="96"/>
      <c r="CC143" s="96"/>
      <c r="CD143" s="96"/>
      <c r="CE143" s="96"/>
      <c r="CF143" s="96"/>
      <c r="CG143" s="96"/>
      <c r="CH143" s="96"/>
      <c r="CI143" s="96"/>
      <c r="CJ143" s="96"/>
      <c r="CK143" s="96"/>
      <c r="CL143" s="96"/>
      <c r="CM143" s="96"/>
      <c r="CN143" s="96"/>
      <c r="CO143" s="96"/>
      <c r="CP143" s="96"/>
      <c r="CQ143" s="96"/>
      <c r="CR143" s="96"/>
      <c r="CS143" s="96"/>
      <c r="CT143" s="96"/>
      <c r="CU143" s="96"/>
      <c r="CV143" s="96"/>
      <c r="CW143" s="96"/>
      <c r="CX143" s="96"/>
      <c r="CY143" s="96"/>
      <c r="CZ143" s="96"/>
      <c r="DA143" s="96"/>
      <c r="DB143" s="96"/>
      <c r="DC143" s="96"/>
      <c r="DD143" s="96"/>
      <c r="DE143" s="96"/>
      <c r="DF143" s="96"/>
      <c r="DG143" s="96"/>
      <c r="DH143" s="96"/>
      <c r="DI143" s="96"/>
      <c r="DJ143" s="96"/>
      <c r="DK143" s="96"/>
      <c r="DL143" s="96"/>
      <c r="DM143" s="96"/>
      <c r="DN143" s="96"/>
      <c r="DO143" s="96"/>
      <c r="DP143" s="96"/>
      <c r="DQ143" s="96"/>
      <c r="DR143" s="96"/>
      <c r="DS143" s="96"/>
      <c r="DT143" s="96"/>
      <c r="DU143" s="96"/>
      <c r="DV143" s="96"/>
      <c r="DW143" s="96"/>
      <c r="DX143" s="96"/>
      <c r="DY143" s="96"/>
      <c r="DZ143" s="96"/>
      <c r="EA143" s="96"/>
      <c r="EB143" s="96"/>
      <c r="EC143" s="96"/>
      <c r="ED143" s="96"/>
      <c r="EE143" s="96"/>
      <c r="EF143" s="96"/>
      <c r="EG143" s="96"/>
      <c r="EH143" s="96"/>
      <c r="EI143" s="96"/>
      <c r="EJ143" s="96"/>
      <c r="EK143" s="96"/>
      <c r="EL143" s="96"/>
      <c r="EM143" s="96"/>
      <c r="EN143" s="96"/>
      <c r="EO143" s="96"/>
      <c r="EP143" s="96"/>
      <c r="EQ143" s="96"/>
      <c r="ER143" s="96"/>
      <c r="ES143" s="96"/>
      <c r="ET143" s="96"/>
      <c r="EU143" s="96"/>
      <c r="EV143" s="96"/>
      <c r="EW143" s="96"/>
      <c r="EX143" s="96"/>
      <c r="EY143" s="96"/>
      <c r="EZ143" s="96"/>
      <c r="FA143" s="96"/>
      <c r="FB143" s="96"/>
      <c r="FC143" s="96"/>
      <c r="FD143" s="96"/>
      <c r="FE143" s="96"/>
      <c r="FF143" s="96"/>
      <c r="FG143" s="96"/>
      <c r="FH143" s="96"/>
      <c r="FI143" s="96"/>
      <c r="FJ143" s="96"/>
      <c r="FK143" s="96"/>
      <c r="FL143" s="96"/>
      <c r="FM143" s="96"/>
      <c r="FN143" s="96"/>
      <c r="FO143" s="96"/>
      <c r="FP143" s="96"/>
      <c r="FQ143" s="96"/>
      <c r="FR143" s="96"/>
      <c r="FS143" s="96"/>
      <c r="FT143" s="96"/>
      <c r="FU143" s="96"/>
      <c r="FV143" s="96"/>
      <c r="FW143" s="96"/>
      <c r="FX143" s="96"/>
      <c r="FY143" s="96"/>
      <c r="FZ143" s="96"/>
      <c r="GA143" s="96"/>
      <c r="GB143" s="96"/>
      <c r="GC143" s="96"/>
      <c r="GD143" s="96"/>
      <c r="GE143" s="96"/>
      <c r="GF143" s="96"/>
      <c r="GG143" s="96"/>
      <c r="GH143" s="96"/>
      <c r="GI143" s="96"/>
      <c r="GJ143" s="96"/>
      <c r="GK143" s="96"/>
      <c r="GL143" s="96"/>
      <c r="GM143" s="96"/>
      <c r="GN143" s="96"/>
      <c r="GO143" s="96"/>
      <c r="GP143" s="96"/>
      <c r="GQ143" s="96"/>
      <c r="GR143" s="96"/>
      <c r="GS143" s="96"/>
      <c r="GT143" s="96"/>
      <c r="GU143" s="96"/>
      <c r="GV143" s="96"/>
      <c r="GW143" s="96"/>
      <c r="GX143" s="96"/>
      <c r="GY143" s="96"/>
      <c r="GZ143" s="96"/>
      <c r="HA143" s="96"/>
      <c r="HB143" s="96"/>
      <c r="HC143" s="96"/>
      <c r="HD143" s="96"/>
      <c r="HE143" s="96"/>
      <c r="HF143" s="96"/>
      <c r="HG143" s="96"/>
      <c r="HH143" s="96"/>
      <c r="HI143" s="96"/>
      <c r="HJ143" s="96"/>
      <c r="HK143" s="96"/>
      <c r="HL143" s="96"/>
      <c r="HM143" s="96"/>
      <c r="HN143" s="96"/>
      <c r="HO143" s="96"/>
      <c r="HP143" s="96"/>
      <c r="HQ143" s="96"/>
      <c r="HR143" s="96"/>
      <c r="HS143" s="96"/>
      <c r="HT143" s="96"/>
      <c r="HU143" s="96"/>
      <c r="HV143" s="96"/>
      <c r="HW143" s="96"/>
      <c r="HX143" s="96"/>
      <c r="HY143" s="96"/>
      <c r="HZ143" s="96"/>
      <c r="IA143" s="96"/>
      <c r="IB143" s="96"/>
      <c r="IC143" s="96"/>
      <c r="ID143" s="96"/>
      <c r="IE143" s="96"/>
      <c r="IF143" s="96"/>
      <c r="IG143" s="96"/>
      <c r="IH143" s="96"/>
      <c r="II143" s="96"/>
      <c r="IJ143" s="96"/>
      <c r="IK143" s="96"/>
      <c r="IL143" s="96"/>
      <c r="IM143" s="96"/>
      <c r="IN143" s="96"/>
      <c r="IO143" s="96"/>
      <c r="IP143" s="96"/>
      <c r="IQ143" s="96"/>
      <c r="IR143" s="96"/>
      <c r="IS143" s="96"/>
      <c r="IT143" s="96"/>
      <c r="IU143" s="96"/>
      <c r="IV143" s="96"/>
    </row>
    <row r="144" spans="1:256" s="346" customFormat="1" ht="16.5" customHeight="1" x14ac:dyDescent="0.2">
      <c r="A144" s="32" t="s">
        <v>205</v>
      </c>
      <c r="B144" s="92" t="s">
        <v>47</v>
      </c>
      <c r="C144" s="381">
        <f>C75</f>
        <v>10877</v>
      </c>
      <c r="D144" s="381">
        <f>D75</f>
        <v>12148</v>
      </c>
      <c r="E144" s="381">
        <f>E75</f>
        <v>12540</v>
      </c>
      <c r="F144" s="381">
        <f>F75</f>
        <v>13506</v>
      </c>
      <c r="G144" s="381">
        <f>G75</f>
        <v>14373</v>
      </c>
      <c r="H144" s="1314"/>
      <c r="I144" s="718"/>
      <c r="J144" s="718"/>
      <c r="K144" s="718"/>
      <c r="L144" s="718"/>
      <c r="M144" s="718"/>
      <c r="N144" s="718"/>
      <c r="O144" s="718"/>
      <c r="P144" s="718"/>
      <c r="Q144" s="718"/>
      <c r="R144" s="718"/>
      <c r="S144" s="718"/>
      <c r="T144" s="718"/>
      <c r="U144" s="718"/>
      <c r="V144" s="718"/>
      <c r="W144" s="718"/>
      <c r="X144" s="718"/>
      <c r="Y144" s="718"/>
      <c r="Z144" s="718"/>
      <c r="AA144" s="96"/>
      <c r="AB144" s="96"/>
      <c r="AC144" s="96"/>
      <c r="AD144" s="96"/>
      <c r="AE144" s="96"/>
      <c r="AF144" s="96"/>
      <c r="AG144" s="96"/>
      <c r="AH144" s="96"/>
      <c r="AI144" s="96"/>
      <c r="AJ144" s="96"/>
      <c r="AK144" s="96"/>
      <c r="AL144" s="96"/>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c r="BN144" s="96"/>
      <c r="BO144" s="96"/>
      <c r="BP144" s="96"/>
      <c r="BQ144" s="96"/>
      <c r="BR144" s="96"/>
      <c r="BS144" s="96"/>
      <c r="BT144" s="96"/>
      <c r="BU144" s="96"/>
      <c r="BV144" s="96"/>
      <c r="BW144" s="96"/>
      <c r="BX144" s="96"/>
      <c r="BY144" s="96"/>
      <c r="BZ144" s="96"/>
      <c r="CA144" s="96"/>
      <c r="CB144" s="96"/>
      <c r="CC144" s="96"/>
      <c r="CD144" s="96"/>
      <c r="CE144" s="96"/>
      <c r="CF144" s="96"/>
      <c r="CG144" s="96"/>
      <c r="CH144" s="96"/>
      <c r="CI144" s="96"/>
      <c r="CJ144" s="96"/>
      <c r="CK144" s="96"/>
      <c r="CL144" s="96"/>
      <c r="CM144" s="96"/>
      <c r="CN144" s="96"/>
      <c r="CO144" s="96"/>
      <c r="CP144" s="96"/>
      <c r="CQ144" s="96"/>
      <c r="CR144" s="96"/>
      <c r="CS144" s="96"/>
      <c r="CT144" s="96"/>
      <c r="CU144" s="96"/>
      <c r="CV144" s="96"/>
      <c r="CW144" s="96"/>
      <c r="CX144" s="96"/>
      <c r="CY144" s="96"/>
      <c r="CZ144" s="96"/>
      <c r="DA144" s="96"/>
      <c r="DB144" s="96"/>
      <c r="DC144" s="96"/>
      <c r="DD144" s="96"/>
      <c r="DE144" s="96"/>
      <c r="DF144" s="96"/>
      <c r="DG144" s="96"/>
      <c r="DH144" s="96"/>
      <c r="DI144" s="96"/>
      <c r="DJ144" s="96"/>
      <c r="DK144" s="96"/>
      <c r="DL144" s="96"/>
      <c r="DM144" s="96"/>
      <c r="DN144" s="96"/>
      <c r="DO144" s="96"/>
      <c r="DP144" s="96"/>
      <c r="DQ144" s="96"/>
      <c r="DR144" s="96"/>
      <c r="DS144" s="96"/>
      <c r="DT144" s="96"/>
      <c r="DU144" s="96"/>
      <c r="DV144" s="96"/>
      <c r="DW144" s="96"/>
      <c r="DX144" s="96"/>
      <c r="DY144" s="96"/>
      <c r="DZ144" s="96"/>
      <c r="EA144" s="96"/>
      <c r="EB144" s="96"/>
      <c r="EC144" s="96"/>
      <c r="ED144" s="96"/>
      <c r="EE144" s="96"/>
      <c r="EF144" s="96"/>
      <c r="EG144" s="96"/>
      <c r="EH144" s="96"/>
      <c r="EI144" s="96"/>
      <c r="EJ144" s="96"/>
      <c r="EK144" s="96"/>
      <c r="EL144" s="96"/>
      <c r="EM144" s="96"/>
      <c r="EN144" s="96"/>
      <c r="EO144" s="96"/>
      <c r="EP144" s="96"/>
      <c r="EQ144" s="96"/>
      <c r="ER144" s="96"/>
      <c r="ES144" s="96"/>
      <c r="ET144" s="96"/>
      <c r="EU144" s="96"/>
      <c r="EV144" s="96"/>
      <c r="EW144" s="96"/>
      <c r="EX144" s="96"/>
      <c r="EY144" s="96"/>
      <c r="EZ144" s="96"/>
      <c r="FA144" s="96"/>
      <c r="FB144" s="96"/>
      <c r="FC144" s="96"/>
      <c r="FD144" s="96"/>
      <c r="FE144" s="96"/>
      <c r="FF144" s="96"/>
      <c r="FG144" s="96"/>
      <c r="FH144" s="96"/>
      <c r="FI144" s="96"/>
      <c r="FJ144" s="96"/>
      <c r="FK144" s="96"/>
      <c r="FL144" s="96"/>
      <c r="FM144" s="96"/>
      <c r="FN144" s="96"/>
      <c r="FO144" s="96"/>
      <c r="FP144" s="96"/>
      <c r="FQ144" s="96"/>
      <c r="FR144" s="96"/>
      <c r="FS144" s="96"/>
      <c r="FT144" s="96"/>
      <c r="FU144" s="96"/>
      <c r="FV144" s="96"/>
      <c r="FW144" s="96"/>
      <c r="FX144" s="96"/>
      <c r="FY144" s="96"/>
      <c r="FZ144" s="96"/>
      <c r="GA144" s="96"/>
      <c r="GB144" s="96"/>
      <c r="GC144" s="96"/>
      <c r="GD144" s="96"/>
      <c r="GE144" s="96"/>
      <c r="GF144" s="96"/>
      <c r="GG144" s="96"/>
      <c r="GH144" s="96"/>
      <c r="GI144" s="96"/>
      <c r="GJ144" s="96"/>
      <c r="GK144" s="96"/>
      <c r="GL144" s="96"/>
      <c r="GM144" s="96"/>
      <c r="GN144" s="96"/>
      <c r="GO144" s="96"/>
      <c r="GP144" s="96"/>
      <c r="GQ144" s="96"/>
      <c r="GR144" s="96"/>
      <c r="GS144" s="96"/>
      <c r="GT144" s="96"/>
      <c r="GU144" s="96"/>
      <c r="GV144" s="96"/>
      <c r="GW144" s="96"/>
      <c r="GX144" s="96"/>
      <c r="GY144" s="96"/>
      <c r="GZ144" s="96"/>
      <c r="HA144" s="96"/>
      <c r="HB144" s="96"/>
      <c r="HC144" s="96"/>
      <c r="HD144" s="96"/>
      <c r="HE144" s="96"/>
      <c r="HF144" s="96"/>
      <c r="HG144" s="96"/>
      <c r="HH144" s="96"/>
      <c r="HI144" s="96"/>
      <c r="HJ144" s="96"/>
      <c r="HK144" s="96"/>
      <c r="HL144" s="96"/>
      <c r="HM144" s="96"/>
      <c r="HN144" s="96"/>
      <c r="HO144" s="96"/>
      <c r="HP144" s="96"/>
      <c r="HQ144" s="96"/>
      <c r="HR144" s="96"/>
      <c r="HS144" s="96"/>
      <c r="HT144" s="96"/>
      <c r="HU144" s="96"/>
      <c r="HV144" s="96"/>
      <c r="HW144" s="96"/>
      <c r="HX144" s="96"/>
      <c r="HY144" s="96"/>
      <c r="HZ144" s="96"/>
      <c r="IA144" s="96"/>
      <c r="IB144" s="96"/>
      <c r="IC144" s="96"/>
      <c r="ID144" s="96"/>
      <c r="IE144" s="96"/>
      <c r="IF144" s="96"/>
      <c r="IG144" s="96"/>
      <c r="IH144" s="96"/>
      <c r="II144" s="96"/>
      <c r="IJ144" s="96"/>
      <c r="IK144" s="96"/>
      <c r="IL144" s="96"/>
      <c r="IM144" s="96"/>
      <c r="IN144" s="96"/>
      <c r="IO144" s="96"/>
      <c r="IP144" s="96"/>
      <c r="IQ144" s="96"/>
      <c r="IR144" s="96"/>
      <c r="IS144" s="96"/>
      <c r="IT144" s="96"/>
      <c r="IU144" s="96"/>
      <c r="IV144" s="96"/>
    </row>
    <row r="145" spans="1:256" s="32" customFormat="1" ht="16.5" customHeight="1" x14ac:dyDescent="0.2">
      <c r="A145" s="32" t="s">
        <v>502</v>
      </c>
      <c r="B145" s="92" t="s">
        <v>47</v>
      </c>
      <c r="C145" s="32">
        <f>C35</f>
        <v>5360</v>
      </c>
      <c r="D145" s="32">
        <f>D35</f>
        <v>5860</v>
      </c>
      <c r="E145" s="32">
        <f>E35</f>
        <v>6220</v>
      </c>
      <c r="F145" s="32">
        <f>F35</f>
        <v>7020</v>
      </c>
      <c r="G145" s="32">
        <f>G35</f>
        <v>6640</v>
      </c>
      <c r="H145" s="1315"/>
      <c r="I145" s="718"/>
      <c r="J145" s="718"/>
      <c r="K145" s="718"/>
      <c r="L145" s="718"/>
      <c r="M145" s="718"/>
      <c r="N145" s="718"/>
      <c r="O145" s="718"/>
      <c r="P145" s="718"/>
      <c r="Q145" s="718"/>
      <c r="R145" s="718"/>
      <c r="S145" s="718"/>
      <c r="T145" s="718"/>
      <c r="U145" s="718"/>
      <c r="V145" s="718"/>
      <c r="W145" s="718"/>
      <c r="X145" s="718"/>
      <c r="Y145" s="718"/>
      <c r="Z145" s="718"/>
      <c r="AA145" s="96"/>
      <c r="AB145" s="96"/>
      <c r="AC145" s="96"/>
      <c r="AD145" s="96"/>
      <c r="AE145" s="96"/>
      <c r="AF145" s="96"/>
      <c r="AG145" s="96"/>
      <c r="AH145" s="96"/>
      <c r="AI145" s="96"/>
      <c r="AJ145" s="96"/>
      <c r="AK145" s="96"/>
      <c r="AL145" s="96"/>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c r="BN145" s="96"/>
      <c r="BO145" s="96"/>
      <c r="BP145" s="96"/>
      <c r="BQ145" s="96"/>
      <c r="BR145" s="96"/>
      <c r="BS145" s="96"/>
      <c r="BT145" s="96"/>
      <c r="BU145" s="96"/>
      <c r="BV145" s="96"/>
      <c r="BW145" s="96"/>
      <c r="BX145" s="96"/>
      <c r="BY145" s="96"/>
      <c r="BZ145" s="96"/>
      <c r="CA145" s="96"/>
      <c r="CB145" s="96"/>
      <c r="CC145" s="96"/>
      <c r="CD145" s="96"/>
      <c r="CE145" s="96"/>
      <c r="CF145" s="96"/>
      <c r="CG145" s="96"/>
      <c r="CH145" s="96"/>
      <c r="CI145" s="96"/>
      <c r="CJ145" s="96"/>
      <c r="CK145" s="96"/>
      <c r="CL145" s="96"/>
      <c r="CM145" s="96"/>
      <c r="CN145" s="96"/>
      <c r="CO145" s="96"/>
      <c r="CP145" s="96"/>
      <c r="CQ145" s="96"/>
      <c r="CR145" s="96"/>
      <c r="CS145" s="96"/>
      <c r="CT145" s="96"/>
      <c r="CU145" s="96"/>
      <c r="CV145" s="96"/>
      <c r="CW145" s="96"/>
      <c r="CX145" s="96"/>
      <c r="CY145" s="96"/>
      <c r="CZ145" s="96"/>
      <c r="DA145" s="96"/>
      <c r="DB145" s="96"/>
      <c r="DC145" s="96"/>
      <c r="DD145" s="96"/>
      <c r="DE145" s="96"/>
      <c r="DF145" s="96"/>
      <c r="DG145" s="96"/>
      <c r="DH145" s="96"/>
      <c r="DI145" s="96"/>
      <c r="DJ145" s="96"/>
      <c r="DK145" s="96"/>
      <c r="DL145" s="96"/>
      <c r="DM145" s="96"/>
      <c r="DN145" s="96"/>
      <c r="DO145" s="96"/>
      <c r="DP145" s="96"/>
      <c r="DQ145" s="96"/>
      <c r="DR145" s="96"/>
      <c r="DS145" s="96"/>
      <c r="DT145" s="96"/>
      <c r="DU145" s="96"/>
      <c r="DV145" s="96"/>
      <c r="DW145" s="96"/>
      <c r="DX145" s="96"/>
      <c r="DY145" s="96"/>
      <c r="DZ145" s="96"/>
      <c r="EA145" s="96"/>
      <c r="EB145" s="96"/>
      <c r="EC145" s="96"/>
      <c r="ED145" s="96"/>
      <c r="EE145" s="96"/>
      <c r="EF145" s="96"/>
      <c r="EG145" s="96"/>
      <c r="EH145" s="96"/>
      <c r="EI145" s="96"/>
      <c r="EJ145" s="96"/>
      <c r="EK145" s="96"/>
      <c r="EL145" s="96"/>
      <c r="EM145" s="96"/>
      <c r="EN145" s="96"/>
      <c r="EO145" s="96"/>
      <c r="EP145" s="96"/>
      <c r="EQ145" s="96"/>
      <c r="ER145" s="96"/>
      <c r="ES145" s="96"/>
      <c r="ET145" s="96"/>
      <c r="EU145" s="96"/>
      <c r="EV145" s="96"/>
      <c r="EW145" s="96"/>
      <c r="EX145" s="96"/>
      <c r="EY145" s="96"/>
      <c r="EZ145" s="96"/>
      <c r="FA145" s="96"/>
      <c r="FB145" s="96"/>
      <c r="FC145" s="96"/>
      <c r="FD145" s="96"/>
      <c r="FE145" s="96"/>
      <c r="FF145" s="96"/>
      <c r="FG145" s="96"/>
      <c r="FH145" s="96"/>
      <c r="FI145" s="96"/>
      <c r="FJ145" s="96"/>
      <c r="FK145" s="96"/>
      <c r="FL145" s="96"/>
      <c r="FM145" s="96"/>
      <c r="FN145" s="96"/>
      <c r="FO145" s="96"/>
      <c r="FP145" s="96"/>
      <c r="FQ145" s="96"/>
      <c r="FR145" s="96"/>
      <c r="FS145" s="96"/>
      <c r="FT145" s="96"/>
      <c r="FU145" s="96"/>
      <c r="FV145" s="96"/>
      <c r="FW145" s="96"/>
      <c r="FX145" s="96"/>
      <c r="FY145" s="96"/>
      <c r="FZ145" s="96"/>
      <c r="GA145" s="96"/>
      <c r="GB145" s="96"/>
      <c r="GC145" s="96"/>
      <c r="GD145" s="96"/>
      <c r="GE145" s="96"/>
      <c r="GF145" s="96"/>
      <c r="GG145" s="96"/>
      <c r="GH145" s="96"/>
      <c r="GI145" s="96"/>
      <c r="GJ145" s="96"/>
      <c r="GK145" s="96"/>
      <c r="GL145" s="96"/>
      <c r="GM145" s="96"/>
      <c r="GN145" s="96"/>
      <c r="GO145" s="96"/>
      <c r="GP145" s="96"/>
      <c r="GQ145" s="96"/>
      <c r="GR145" s="96"/>
      <c r="GS145" s="96"/>
      <c r="GT145" s="96"/>
      <c r="GU145" s="96"/>
      <c r="GV145" s="96"/>
      <c r="GW145" s="96"/>
      <c r="GX145" s="96"/>
      <c r="GY145" s="96"/>
      <c r="GZ145" s="96"/>
      <c r="HA145" s="96"/>
      <c r="HB145" s="96"/>
      <c r="HC145" s="96"/>
      <c r="HD145" s="96"/>
      <c r="HE145" s="96"/>
      <c r="HF145" s="96"/>
      <c r="HG145" s="96"/>
      <c r="HH145" s="96"/>
      <c r="HI145" s="96"/>
      <c r="HJ145" s="96"/>
      <c r="HK145" s="96"/>
      <c r="HL145" s="96"/>
      <c r="HM145" s="96"/>
      <c r="HN145" s="96"/>
      <c r="HO145" s="96"/>
      <c r="HP145" s="96"/>
      <c r="HQ145" s="96"/>
      <c r="HR145" s="96"/>
      <c r="HS145" s="96"/>
      <c r="HT145" s="96"/>
      <c r="HU145" s="96"/>
      <c r="HV145" s="96"/>
      <c r="HW145" s="96"/>
      <c r="HX145" s="96"/>
      <c r="HY145" s="96"/>
      <c r="HZ145" s="96"/>
      <c r="IA145" s="96"/>
      <c r="IB145" s="96"/>
      <c r="IC145" s="96"/>
      <c r="ID145" s="96"/>
      <c r="IE145" s="96"/>
      <c r="IF145" s="96"/>
      <c r="IG145" s="96"/>
      <c r="IH145" s="96"/>
      <c r="II145" s="96"/>
      <c r="IJ145" s="96"/>
      <c r="IK145" s="96"/>
      <c r="IL145" s="96"/>
      <c r="IM145" s="96"/>
      <c r="IN145" s="96"/>
      <c r="IO145" s="96"/>
      <c r="IP145" s="96"/>
      <c r="IQ145" s="96"/>
      <c r="IR145" s="96"/>
      <c r="IS145" s="96"/>
      <c r="IT145" s="96"/>
      <c r="IU145" s="96"/>
      <c r="IV145" s="96"/>
    </row>
    <row r="146" spans="1:256" s="208" customFormat="1" ht="6" customHeight="1" x14ac:dyDescent="0.2">
      <c r="A146" s="193"/>
      <c r="B146" s="193"/>
      <c r="C146" s="200"/>
      <c r="D146" s="200"/>
      <c r="E146" s="200"/>
      <c r="F146" s="200"/>
      <c r="G146" s="200"/>
      <c r="H146" s="193"/>
      <c r="I146" s="677"/>
      <c r="J146" s="677"/>
      <c r="K146" s="677"/>
      <c r="L146" s="677"/>
      <c r="M146" s="677"/>
      <c r="N146" s="677"/>
      <c r="O146" s="677"/>
      <c r="P146" s="677"/>
      <c r="Q146" s="677"/>
      <c r="R146" s="677"/>
      <c r="S146" s="677"/>
      <c r="T146" s="677"/>
      <c r="U146" s="677"/>
      <c r="V146" s="677"/>
      <c r="W146" s="677"/>
      <c r="X146" s="677"/>
      <c r="Y146" s="677"/>
      <c r="Z146" s="677"/>
      <c r="AA146" s="193"/>
      <c r="AB146" s="193"/>
      <c r="AC146" s="193"/>
      <c r="AD146" s="193"/>
      <c r="AE146" s="193"/>
      <c r="AF146" s="193"/>
      <c r="AG146" s="193"/>
      <c r="AH146" s="193"/>
      <c r="AI146" s="193"/>
      <c r="AJ146" s="193"/>
      <c r="AK146" s="193"/>
      <c r="AL146" s="193"/>
      <c r="AM146" s="193"/>
      <c r="AN146" s="193"/>
      <c r="AO146" s="193"/>
      <c r="AP146" s="193"/>
      <c r="AQ146" s="193"/>
      <c r="AR146" s="193"/>
      <c r="AS146" s="193"/>
      <c r="AT146" s="193"/>
      <c r="AU146" s="193"/>
      <c r="AV146" s="193"/>
      <c r="AW146" s="193"/>
      <c r="AX146" s="193"/>
      <c r="AY146" s="193"/>
      <c r="AZ146" s="193"/>
      <c r="BA146" s="193"/>
      <c r="BB146" s="193"/>
      <c r="BC146" s="193"/>
      <c r="BD146" s="193"/>
      <c r="BE146" s="193"/>
      <c r="BF146" s="193"/>
      <c r="BG146" s="193"/>
      <c r="BH146" s="193"/>
      <c r="BI146" s="193"/>
      <c r="BJ146" s="193"/>
      <c r="BK146" s="193"/>
      <c r="BL146" s="193"/>
      <c r="BM146" s="193"/>
      <c r="BN146" s="193"/>
      <c r="BO146" s="193"/>
      <c r="BP146" s="193"/>
      <c r="BQ146" s="193"/>
      <c r="BR146" s="193"/>
      <c r="BS146" s="193"/>
      <c r="BT146" s="193"/>
      <c r="BU146" s="193"/>
      <c r="BV146" s="193"/>
      <c r="BW146" s="193"/>
      <c r="BX146" s="193"/>
      <c r="BY146" s="193"/>
      <c r="BZ146" s="193"/>
      <c r="CA146" s="193"/>
      <c r="CB146" s="193"/>
      <c r="CC146" s="193"/>
      <c r="CD146" s="193"/>
      <c r="CE146" s="193"/>
      <c r="CF146" s="193"/>
      <c r="CG146" s="193"/>
      <c r="CH146" s="193"/>
      <c r="CI146" s="193"/>
      <c r="CJ146" s="193"/>
      <c r="CK146" s="193"/>
      <c r="CL146" s="193"/>
      <c r="CM146" s="193"/>
      <c r="CN146" s="193"/>
      <c r="CO146" s="193"/>
      <c r="CP146" s="193"/>
      <c r="CQ146" s="193"/>
      <c r="CR146" s="193"/>
      <c r="CS146" s="193"/>
      <c r="CT146" s="193"/>
      <c r="CU146" s="193"/>
      <c r="CV146" s="193"/>
      <c r="CW146" s="193"/>
      <c r="CX146" s="193"/>
      <c r="CY146" s="193"/>
      <c r="CZ146" s="193"/>
      <c r="DA146" s="193"/>
      <c r="DB146" s="193"/>
      <c r="DC146" s="193"/>
      <c r="DD146" s="193"/>
      <c r="DE146" s="193"/>
      <c r="DF146" s="193"/>
      <c r="DG146" s="193"/>
      <c r="DH146" s="193"/>
      <c r="DI146" s="193"/>
      <c r="DJ146" s="193"/>
      <c r="DK146" s="193"/>
      <c r="DL146" s="193"/>
      <c r="DM146" s="193"/>
      <c r="DN146" s="193"/>
      <c r="DO146" s="193"/>
      <c r="DP146" s="193"/>
      <c r="DQ146" s="193"/>
      <c r="DR146" s="193"/>
      <c r="DS146" s="193"/>
      <c r="DT146" s="193"/>
      <c r="DU146" s="193"/>
      <c r="DV146" s="193"/>
      <c r="DW146" s="193"/>
      <c r="DX146" s="193"/>
      <c r="DY146" s="193"/>
      <c r="DZ146" s="193"/>
      <c r="EA146" s="193"/>
      <c r="EB146" s="193"/>
      <c r="EC146" s="193"/>
      <c r="ED146" s="193"/>
      <c r="EE146" s="193"/>
      <c r="EF146" s="193"/>
      <c r="EG146" s="193"/>
      <c r="EH146" s="193"/>
      <c r="EI146" s="193"/>
      <c r="EJ146" s="193"/>
      <c r="EK146" s="193"/>
      <c r="EL146" s="193"/>
      <c r="EM146" s="193"/>
      <c r="EN146" s="193"/>
      <c r="EO146" s="193"/>
      <c r="EP146" s="193"/>
      <c r="EQ146" s="193"/>
      <c r="ER146" s="193"/>
      <c r="ES146" s="193"/>
      <c r="ET146" s="193"/>
      <c r="EU146" s="193"/>
      <c r="EV146" s="193"/>
      <c r="EW146" s="193"/>
      <c r="EX146" s="193"/>
      <c r="EY146" s="193"/>
      <c r="EZ146" s="193"/>
      <c r="FA146" s="193"/>
      <c r="FB146" s="193"/>
      <c r="FC146" s="193"/>
      <c r="FD146" s="193"/>
      <c r="FE146" s="193"/>
      <c r="FF146" s="193"/>
      <c r="FG146" s="193"/>
      <c r="FH146" s="193"/>
      <c r="FI146" s="193"/>
      <c r="FJ146" s="193"/>
      <c r="FK146" s="193"/>
      <c r="FL146" s="193"/>
      <c r="FM146" s="193"/>
      <c r="FN146" s="193"/>
      <c r="FO146" s="193"/>
      <c r="FP146" s="193"/>
      <c r="FQ146" s="193"/>
      <c r="FR146" s="193"/>
      <c r="FS146" s="193"/>
      <c r="FT146" s="193"/>
      <c r="FU146" s="193"/>
      <c r="FV146" s="193"/>
      <c r="FW146" s="193"/>
      <c r="FX146" s="193"/>
      <c r="FY146" s="193"/>
      <c r="FZ146" s="193"/>
      <c r="GA146" s="193"/>
      <c r="GB146" s="193"/>
      <c r="GC146" s="193"/>
      <c r="GD146" s="193"/>
      <c r="GE146" s="193"/>
      <c r="GF146" s="193"/>
      <c r="GG146" s="193"/>
      <c r="GH146" s="193"/>
      <c r="GI146" s="193"/>
      <c r="GJ146" s="193"/>
      <c r="GK146" s="193"/>
      <c r="GL146" s="193"/>
      <c r="GM146" s="193"/>
      <c r="GN146" s="193"/>
      <c r="GO146" s="193"/>
      <c r="GP146" s="193"/>
      <c r="GQ146" s="193"/>
      <c r="GR146" s="193"/>
      <c r="GS146" s="193"/>
      <c r="GT146" s="193"/>
      <c r="GU146" s="193"/>
      <c r="GV146" s="193"/>
      <c r="GW146" s="193"/>
      <c r="GX146" s="193"/>
      <c r="GY146" s="193"/>
      <c r="GZ146" s="193"/>
      <c r="HA146" s="193"/>
      <c r="HB146" s="193"/>
      <c r="HC146" s="193"/>
      <c r="HD146" s="193"/>
      <c r="HE146" s="193"/>
      <c r="HF146" s="193"/>
      <c r="HG146" s="193"/>
      <c r="HH146" s="193"/>
      <c r="HI146" s="193"/>
      <c r="HJ146" s="193"/>
      <c r="HK146" s="193"/>
      <c r="HL146" s="193"/>
      <c r="HM146" s="193"/>
      <c r="HN146" s="193"/>
      <c r="HO146" s="193"/>
      <c r="HP146" s="193"/>
      <c r="HQ146" s="193"/>
      <c r="HR146" s="193"/>
      <c r="HS146" s="193"/>
      <c r="HT146" s="193"/>
      <c r="HU146" s="193"/>
      <c r="HV146" s="193"/>
      <c r="HW146" s="193"/>
      <c r="HX146" s="193"/>
      <c r="HY146" s="193"/>
      <c r="HZ146" s="193"/>
      <c r="IA146" s="193"/>
      <c r="IB146" s="193"/>
      <c r="IC146" s="193"/>
      <c r="ID146" s="193"/>
      <c r="IE146" s="193"/>
      <c r="IF146" s="193"/>
      <c r="IG146" s="193"/>
      <c r="IH146" s="193"/>
      <c r="II146" s="193"/>
      <c r="IJ146" s="193"/>
      <c r="IK146" s="193"/>
      <c r="IL146" s="193"/>
      <c r="IM146" s="193"/>
      <c r="IN146" s="193"/>
      <c r="IO146" s="193"/>
      <c r="IP146" s="193"/>
      <c r="IQ146" s="193"/>
      <c r="IR146" s="193"/>
      <c r="IS146" s="193"/>
      <c r="IT146" s="193"/>
      <c r="IU146" s="193"/>
      <c r="IV146" s="193"/>
    </row>
    <row r="147" spans="1:256" s="107" customFormat="1" ht="16.5" customHeight="1" x14ac:dyDescent="0.2">
      <c r="A147" s="705" t="s">
        <v>548</v>
      </c>
      <c r="B147" s="501" t="s">
        <v>47</v>
      </c>
      <c r="C147" s="470">
        <f>C140*C143-C136</f>
        <v>1.5999999999999348E-4</v>
      </c>
      <c r="D147" s="470">
        <f>D140*D143-D136</f>
        <v>-3.1000000000000472E-4</v>
      </c>
      <c r="E147" s="470">
        <f>E140*E143-E136</f>
        <v>3.1999999999998696E-4</v>
      </c>
      <c r="F147" s="470">
        <f>F140*F143-F136</f>
        <v>3.5999999999999921E-4</v>
      </c>
      <c r="G147" s="470">
        <f>G140*G143-G136</f>
        <v>-1.2799999999999895E-3</v>
      </c>
      <c r="H147" s="211" t="s">
        <v>488</v>
      </c>
      <c r="I147" s="777"/>
      <c r="J147" s="777"/>
      <c r="K147" s="777"/>
      <c r="L147" s="777"/>
      <c r="M147" s="777"/>
      <c r="N147" s="777"/>
      <c r="O147" s="777"/>
      <c r="P147" s="777"/>
      <c r="Q147" s="777"/>
      <c r="R147" s="777"/>
      <c r="S147" s="777"/>
      <c r="T147" s="777"/>
      <c r="U147" s="777"/>
      <c r="V147" s="777"/>
      <c r="W147" s="777"/>
      <c r="X147" s="777"/>
      <c r="Y147" s="777"/>
      <c r="Z147" s="777"/>
      <c r="AA147" s="211"/>
      <c r="AB147" s="211"/>
      <c r="AC147" s="211"/>
      <c r="AD147" s="211"/>
      <c r="AE147" s="211"/>
      <c r="AF147" s="211"/>
      <c r="AG147" s="211"/>
      <c r="AH147" s="211"/>
      <c r="AI147" s="211"/>
      <c r="AJ147" s="211"/>
      <c r="AK147" s="211"/>
      <c r="AL147" s="211"/>
      <c r="AM147" s="211"/>
      <c r="AN147" s="211"/>
      <c r="AO147" s="211"/>
      <c r="AP147" s="211"/>
      <c r="AQ147" s="211"/>
      <c r="AR147" s="211"/>
      <c r="AS147" s="211"/>
      <c r="AT147" s="211"/>
      <c r="AU147" s="211"/>
      <c r="AV147" s="211"/>
      <c r="AW147" s="211"/>
      <c r="AX147" s="211"/>
      <c r="AY147" s="211"/>
      <c r="AZ147" s="211"/>
      <c r="BA147" s="211"/>
      <c r="BB147" s="211"/>
      <c r="BC147" s="211"/>
      <c r="BD147" s="211"/>
      <c r="BE147" s="211"/>
      <c r="BF147" s="211"/>
      <c r="BG147" s="211"/>
      <c r="BH147" s="211"/>
      <c r="BI147" s="211"/>
      <c r="BJ147" s="211"/>
      <c r="BK147" s="211"/>
      <c r="BL147" s="211"/>
      <c r="BM147" s="211"/>
      <c r="BN147" s="211"/>
      <c r="BO147" s="211"/>
      <c r="BP147" s="211"/>
      <c r="BQ147" s="211"/>
      <c r="BR147" s="211"/>
      <c r="BS147" s="211"/>
      <c r="BT147" s="211"/>
      <c r="BU147" s="211"/>
      <c r="BV147" s="211"/>
      <c r="BW147" s="211"/>
      <c r="BX147" s="211"/>
      <c r="BY147" s="211"/>
      <c r="BZ147" s="211"/>
      <c r="CA147" s="211"/>
      <c r="CB147" s="211"/>
      <c r="CC147" s="211"/>
      <c r="CD147" s="211"/>
      <c r="CE147" s="211"/>
      <c r="CF147" s="211"/>
      <c r="CG147" s="211"/>
      <c r="CH147" s="211"/>
      <c r="CI147" s="211"/>
      <c r="CJ147" s="211"/>
      <c r="CK147" s="211"/>
      <c r="CL147" s="211"/>
      <c r="CM147" s="211"/>
      <c r="CN147" s="211"/>
      <c r="CO147" s="211"/>
      <c r="CP147" s="211"/>
      <c r="CQ147" s="211"/>
      <c r="CR147" s="211"/>
      <c r="CS147" s="211"/>
      <c r="CT147" s="211"/>
      <c r="CU147" s="211"/>
      <c r="CV147" s="211"/>
      <c r="CW147" s="211"/>
      <c r="CX147" s="211"/>
      <c r="CY147" s="211"/>
      <c r="CZ147" s="211"/>
      <c r="DA147" s="211"/>
      <c r="DB147" s="211"/>
      <c r="DC147" s="211"/>
      <c r="DD147" s="211"/>
      <c r="DE147" s="211"/>
      <c r="DF147" s="211"/>
      <c r="DG147" s="211"/>
      <c r="DH147" s="211"/>
      <c r="DI147" s="211"/>
      <c r="DJ147" s="211"/>
      <c r="DK147" s="211"/>
      <c r="DL147" s="211"/>
      <c r="DM147" s="211"/>
      <c r="DN147" s="211"/>
      <c r="DO147" s="211"/>
      <c r="DP147" s="211"/>
      <c r="DQ147" s="211"/>
      <c r="DR147" s="211"/>
      <c r="DS147" s="211"/>
      <c r="DT147" s="211"/>
      <c r="DU147" s="211"/>
      <c r="DV147" s="211"/>
      <c r="DW147" s="211"/>
      <c r="DX147" s="211"/>
      <c r="DY147" s="211"/>
      <c r="DZ147" s="211"/>
      <c r="EA147" s="211"/>
      <c r="EB147" s="211"/>
      <c r="EC147" s="211"/>
      <c r="ED147" s="211"/>
      <c r="EE147" s="211"/>
      <c r="EF147" s="211"/>
      <c r="EG147" s="211"/>
      <c r="EH147" s="211"/>
      <c r="EI147" s="211"/>
      <c r="EJ147" s="211"/>
      <c r="EK147" s="211"/>
      <c r="EL147" s="211"/>
      <c r="EM147" s="211"/>
      <c r="EN147" s="211"/>
      <c r="EO147" s="211"/>
      <c r="EP147" s="211"/>
      <c r="EQ147" s="211"/>
      <c r="ER147" s="211"/>
      <c r="ES147" s="211"/>
      <c r="ET147" s="211"/>
      <c r="EU147" s="211"/>
      <c r="EV147" s="211"/>
      <c r="EW147" s="211"/>
      <c r="EX147" s="211"/>
      <c r="EY147" s="211"/>
      <c r="EZ147" s="211"/>
      <c r="FA147" s="211"/>
      <c r="FB147" s="211"/>
      <c r="FC147" s="211"/>
      <c r="FD147" s="211"/>
      <c r="FE147" s="211"/>
      <c r="FF147" s="211"/>
      <c r="FG147" s="211"/>
      <c r="FH147" s="211"/>
      <c r="FI147" s="211"/>
      <c r="FJ147" s="211"/>
      <c r="FK147" s="211"/>
      <c r="FL147" s="211"/>
      <c r="FM147" s="211"/>
      <c r="FN147" s="211"/>
      <c r="FO147" s="211"/>
      <c r="FP147" s="211"/>
      <c r="FQ147" s="211"/>
      <c r="FR147" s="211"/>
      <c r="FS147" s="211"/>
      <c r="FT147" s="211"/>
      <c r="FU147" s="211"/>
      <c r="FV147" s="211"/>
      <c r="FW147" s="211"/>
      <c r="FX147" s="211"/>
      <c r="FY147" s="211"/>
      <c r="FZ147" s="211"/>
      <c r="GA147" s="211"/>
      <c r="GB147" s="211"/>
      <c r="GC147" s="211"/>
      <c r="GD147" s="211"/>
      <c r="GE147" s="211"/>
      <c r="GF147" s="211"/>
      <c r="GG147" s="211"/>
      <c r="GH147" s="211"/>
      <c r="GI147" s="211"/>
      <c r="GJ147" s="211"/>
      <c r="GK147" s="211"/>
      <c r="GL147" s="211"/>
      <c r="GM147" s="211"/>
      <c r="GN147" s="211"/>
      <c r="GO147" s="211"/>
      <c r="GP147" s="211"/>
      <c r="GQ147" s="211"/>
      <c r="GR147" s="211"/>
      <c r="GS147" s="211"/>
      <c r="GT147" s="211"/>
      <c r="GU147" s="211"/>
      <c r="GV147" s="211"/>
      <c r="GW147" s="211"/>
      <c r="GX147" s="211"/>
      <c r="GY147" s="211"/>
      <c r="GZ147" s="211"/>
      <c r="HA147" s="211"/>
      <c r="HB147" s="211"/>
      <c r="HC147" s="211"/>
      <c r="HD147" s="211"/>
      <c r="HE147" s="211"/>
      <c r="HF147" s="211"/>
      <c r="HG147" s="211"/>
      <c r="HH147" s="211"/>
      <c r="HI147" s="211"/>
      <c r="HJ147" s="211"/>
      <c r="HK147" s="211"/>
      <c r="HL147" s="211"/>
      <c r="HM147" s="211"/>
      <c r="HN147" s="211"/>
      <c r="HO147" s="211"/>
      <c r="HP147" s="211"/>
      <c r="HQ147" s="211"/>
      <c r="HR147" s="211"/>
      <c r="HS147" s="211"/>
      <c r="HT147" s="211"/>
      <c r="HU147" s="211"/>
      <c r="HV147" s="211"/>
      <c r="HW147" s="211"/>
      <c r="HX147" s="211"/>
      <c r="HY147" s="211"/>
      <c r="HZ147" s="211"/>
      <c r="IA147" s="211"/>
      <c r="IB147" s="211"/>
      <c r="IC147" s="211"/>
      <c r="ID147" s="211"/>
      <c r="IE147" s="211"/>
      <c r="IF147" s="211"/>
      <c r="IG147" s="211"/>
      <c r="IH147" s="211"/>
      <c r="II147" s="211"/>
      <c r="IJ147" s="211"/>
      <c r="IK147" s="211"/>
      <c r="IL147" s="211"/>
      <c r="IM147" s="211"/>
      <c r="IN147" s="211"/>
      <c r="IO147" s="211"/>
      <c r="IP147" s="211"/>
      <c r="IQ147" s="211"/>
      <c r="IR147" s="211"/>
      <c r="IS147" s="211"/>
      <c r="IT147" s="211"/>
      <c r="IU147" s="211"/>
      <c r="IV147" s="211"/>
    </row>
    <row r="148" spans="1:256" s="219" customFormat="1" ht="6" customHeight="1" x14ac:dyDescent="0.2">
      <c r="A148" s="200"/>
      <c r="B148" s="218"/>
      <c r="C148" s="218"/>
      <c r="D148" s="215"/>
      <c r="E148" s="215"/>
      <c r="F148" s="218"/>
      <c r="H148" s="82"/>
      <c r="I148" s="1169"/>
      <c r="J148" s="1169"/>
      <c r="K148" s="1169"/>
      <c r="L148" s="1169"/>
      <c r="M148" s="1169"/>
      <c r="N148" s="1169"/>
      <c r="O148" s="1169"/>
      <c r="P148" s="1169"/>
      <c r="Q148" s="1169"/>
      <c r="R148" s="1169"/>
      <c r="S148" s="1169"/>
      <c r="T148" s="1169"/>
      <c r="U148" s="1169"/>
      <c r="V148" s="1169"/>
      <c r="W148" s="1169"/>
      <c r="X148" s="1169"/>
      <c r="Y148" s="1169"/>
      <c r="Z148" s="1169"/>
      <c r="AA148" s="82"/>
      <c r="AB148" s="82"/>
      <c r="AC148" s="82"/>
      <c r="AD148" s="82"/>
      <c r="AE148" s="82"/>
      <c r="AF148" s="82"/>
      <c r="AG148" s="82"/>
      <c r="AH148" s="82"/>
      <c r="AI148" s="82"/>
      <c r="AJ148" s="82"/>
      <c r="AK148" s="82"/>
      <c r="AL148" s="82"/>
      <c r="AM148" s="82"/>
      <c r="AN148" s="82"/>
      <c r="AO148" s="82"/>
      <c r="AP148" s="82"/>
      <c r="AQ148" s="82"/>
      <c r="AR148" s="82"/>
      <c r="AS148" s="82"/>
      <c r="AT148" s="82"/>
      <c r="AU148" s="82"/>
      <c r="AV148" s="82"/>
      <c r="AW148" s="82"/>
      <c r="AX148" s="82"/>
      <c r="AY148" s="82"/>
      <c r="AZ148" s="82"/>
      <c r="BA148" s="82"/>
      <c r="BB148" s="82"/>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82"/>
      <c r="CR148" s="82"/>
      <c r="CS148" s="82"/>
      <c r="CT148" s="82"/>
      <c r="CU148" s="82"/>
      <c r="CV148" s="82"/>
      <c r="CW148" s="82"/>
      <c r="CX148" s="82"/>
      <c r="CY148" s="82"/>
      <c r="CZ148" s="82"/>
      <c r="DA148" s="82"/>
      <c r="DB148" s="82"/>
      <c r="DC148" s="82"/>
      <c r="DD148" s="82"/>
      <c r="DE148" s="82"/>
      <c r="DF148" s="82"/>
      <c r="DG148" s="82"/>
      <c r="DH148" s="82"/>
      <c r="DI148" s="82"/>
      <c r="DJ148" s="82"/>
      <c r="DK148" s="82"/>
      <c r="DL148" s="82"/>
      <c r="DM148" s="82"/>
      <c r="DN148" s="82"/>
      <c r="DO148" s="82"/>
      <c r="DP148" s="82"/>
      <c r="DQ148" s="82"/>
      <c r="DR148" s="82"/>
      <c r="DS148" s="82"/>
      <c r="DT148" s="82"/>
      <c r="DU148" s="82"/>
      <c r="DV148" s="82"/>
      <c r="DW148" s="82"/>
      <c r="DX148" s="82"/>
      <c r="DY148" s="82"/>
      <c r="DZ148" s="82"/>
      <c r="EA148" s="82"/>
      <c r="EB148" s="82"/>
      <c r="EC148" s="82"/>
      <c r="ED148" s="82"/>
      <c r="EE148" s="82"/>
      <c r="EF148" s="82"/>
      <c r="EG148" s="82"/>
      <c r="EH148" s="82"/>
      <c r="EI148" s="82"/>
      <c r="EJ148" s="82"/>
      <c r="EK148" s="82"/>
      <c r="EL148" s="82"/>
      <c r="EM148" s="82"/>
      <c r="EN148" s="82"/>
      <c r="EO148" s="82"/>
      <c r="EP148" s="82"/>
      <c r="EQ148" s="82"/>
      <c r="ER148" s="82"/>
      <c r="ES148" s="82"/>
      <c r="ET148" s="82"/>
      <c r="EU148" s="82"/>
      <c r="EV148" s="82"/>
      <c r="EW148" s="82"/>
      <c r="EX148" s="82"/>
      <c r="EY148" s="82"/>
      <c r="EZ148" s="82"/>
      <c r="FA148" s="82"/>
      <c r="FB148" s="82"/>
      <c r="FC148" s="82"/>
      <c r="FD148" s="82"/>
      <c r="FE148" s="82"/>
      <c r="FF148" s="82"/>
      <c r="FG148" s="82"/>
      <c r="FH148" s="82"/>
      <c r="FI148" s="82"/>
      <c r="FJ148" s="82"/>
      <c r="FK148" s="82"/>
      <c r="FL148" s="82"/>
      <c r="FM148" s="82"/>
      <c r="FN148" s="82"/>
      <c r="FO148" s="82"/>
      <c r="FP148" s="82"/>
      <c r="FQ148" s="82"/>
      <c r="FR148" s="82"/>
      <c r="FS148" s="82"/>
      <c r="FT148" s="82"/>
      <c r="FU148" s="82"/>
      <c r="FV148" s="82"/>
      <c r="FW148" s="82"/>
      <c r="FX148" s="82"/>
      <c r="FY148" s="82"/>
      <c r="FZ148" s="82"/>
      <c r="GA148" s="82"/>
      <c r="GB148" s="82"/>
      <c r="GC148" s="82"/>
      <c r="GD148" s="82"/>
      <c r="GE148" s="82"/>
      <c r="GF148" s="82"/>
      <c r="GG148" s="82"/>
      <c r="GH148" s="82"/>
      <c r="GI148" s="82"/>
      <c r="GJ148" s="82"/>
      <c r="GK148" s="82"/>
      <c r="GL148" s="82"/>
      <c r="GM148" s="82"/>
      <c r="GN148" s="82"/>
      <c r="GO148" s="82"/>
      <c r="GP148" s="82"/>
      <c r="GQ148" s="82"/>
      <c r="GR148" s="82"/>
      <c r="GS148" s="82"/>
      <c r="GT148" s="82"/>
      <c r="GU148" s="82"/>
      <c r="GV148" s="82"/>
      <c r="GW148" s="82"/>
      <c r="GX148" s="82"/>
      <c r="GY148" s="82"/>
      <c r="GZ148" s="82"/>
      <c r="HA148" s="82"/>
      <c r="HB148" s="82"/>
      <c r="HC148" s="82"/>
      <c r="HD148" s="82"/>
      <c r="HE148" s="82"/>
      <c r="HF148" s="82"/>
      <c r="HG148" s="82"/>
      <c r="HH148" s="82"/>
      <c r="HI148" s="82"/>
      <c r="HJ148" s="82"/>
      <c r="HK148" s="82"/>
      <c r="HL148" s="82"/>
      <c r="HM148" s="82"/>
      <c r="HN148" s="82"/>
      <c r="HO148" s="82"/>
      <c r="HP148" s="82"/>
      <c r="HQ148" s="82"/>
      <c r="HR148" s="82"/>
      <c r="HS148" s="82"/>
      <c r="HT148" s="82"/>
      <c r="HU148" s="82"/>
      <c r="HV148" s="82"/>
      <c r="HW148" s="82"/>
      <c r="HX148" s="82"/>
      <c r="HY148" s="82"/>
      <c r="HZ148" s="82"/>
      <c r="IA148" s="82"/>
      <c r="IB148" s="82"/>
      <c r="IC148" s="82"/>
      <c r="ID148" s="82"/>
      <c r="IE148" s="82"/>
      <c r="IF148" s="82"/>
      <c r="IG148" s="82"/>
      <c r="IH148" s="82"/>
      <c r="II148" s="82"/>
      <c r="IJ148" s="82"/>
      <c r="IK148" s="82"/>
      <c r="IL148" s="82"/>
      <c r="IM148" s="82"/>
      <c r="IN148" s="82"/>
      <c r="IO148" s="82"/>
      <c r="IP148" s="82"/>
      <c r="IQ148" s="82"/>
      <c r="IR148" s="82"/>
      <c r="IS148" s="82"/>
      <c r="IT148" s="82"/>
      <c r="IU148" s="82"/>
      <c r="IV148" s="82"/>
    </row>
    <row r="149" spans="1:256" s="428" customFormat="1" ht="18" customHeight="1" x14ac:dyDescent="0.2">
      <c r="A149" s="286" t="s">
        <v>486</v>
      </c>
      <c r="B149" s="598"/>
      <c r="C149" s="599"/>
      <c r="D149" s="599"/>
      <c r="E149" s="599"/>
      <c r="F149" s="599"/>
      <c r="G149" s="599"/>
      <c r="H149" s="287"/>
      <c r="I149" s="1059"/>
      <c r="J149" s="1059"/>
      <c r="K149" s="1059"/>
      <c r="L149" s="1059"/>
      <c r="M149" s="1059"/>
      <c r="N149" s="1059"/>
      <c r="O149" s="1059"/>
      <c r="P149" s="1059"/>
      <c r="Q149" s="1059"/>
      <c r="R149" s="1059"/>
      <c r="S149" s="1059"/>
      <c r="T149" s="1059"/>
      <c r="U149" s="1059"/>
      <c r="V149" s="1059"/>
      <c r="W149" s="1059"/>
      <c r="X149" s="1059"/>
      <c r="Y149" s="1059"/>
      <c r="Z149" s="1059"/>
      <c r="AA149" s="287"/>
      <c r="AB149" s="287"/>
      <c r="AC149" s="287"/>
      <c r="AD149" s="287"/>
      <c r="AE149" s="287"/>
      <c r="AF149" s="287"/>
      <c r="AG149" s="287"/>
      <c r="AH149" s="287"/>
      <c r="AI149" s="287"/>
      <c r="AJ149" s="287"/>
      <c r="AK149" s="287"/>
      <c r="AL149" s="287"/>
      <c r="AM149" s="287"/>
      <c r="AN149" s="287"/>
      <c r="AO149" s="287"/>
      <c r="AP149" s="287"/>
      <c r="AQ149" s="287"/>
      <c r="AR149" s="287"/>
      <c r="AS149" s="287"/>
      <c r="AT149" s="287"/>
      <c r="AU149" s="287"/>
      <c r="AV149" s="287"/>
      <c r="AW149" s="287"/>
      <c r="AX149" s="287"/>
      <c r="AY149" s="287"/>
      <c r="AZ149" s="287"/>
      <c r="BA149" s="287"/>
      <c r="BB149" s="287"/>
      <c r="BC149" s="287"/>
      <c r="BD149" s="287"/>
      <c r="BE149" s="287"/>
      <c r="BF149" s="287"/>
      <c r="BG149" s="287"/>
      <c r="BH149" s="287"/>
      <c r="BI149" s="287"/>
      <c r="BJ149" s="287"/>
      <c r="BK149" s="287"/>
      <c r="BL149" s="287"/>
      <c r="BM149" s="287"/>
      <c r="BN149" s="287"/>
      <c r="BO149" s="287"/>
      <c r="BP149" s="287"/>
      <c r="BQ149" s="287"/>
      <c r="BR149" s="287"/>
      <c r="BS149" s="287"/>
      <c r="BT149" s="287"/>
      <c r="BU149" s="287"/>
      <c r="BV149" s="287"/>
      <c r="BW149" s="287"/>
      <c r="BX149" s="287"/>
      <c r="BY149" s="287"/>
      <c r="BZ149" s="287"/>
      <c r="CA149" s="287"/>
      <c r="CB149" s="287"/>
      <c r="CC149" s="287"/>
      <c r="CD149" s="287"/>
      <c r="CE149" s="287"/>
      <c r="CF149" s="287"/>
      <c r="CG149" s="287"/>
      <c r="CH149" s="287"/>
      <c r="CI149" s="287"/>
      <c r="CJ149" s="287"/>
      <c r="CK149" s="287"/>
      <c r="CL149" s="287"/>
      <c r="CM149" s="287"/>
      <c r="CN149" s="287"/>
      <c r="CO149" s="287"/>
      <c r="CP149" s="287"/>
      <c r="CQ149" s="287"/>
      <c r="CR149" s="287"/>
      <c r="CS149" s="287"/>
      <c r="CT149" s="287"/>
      <c r="CU149" s="287"/>
      <c r="CV149" s="287"/>
      <c r="CW149" s="287"/>
      <c r="CX149" s="287"/>
      <c r="CY149" s="287"/>
      <c r="CZ149" s="287"/>
      <c r="DA149" s="287"/>
      <c r="DB149" s="287"/>
      <c r="DC149" s="287"/>
      <c r="DD149" s="287"/>
      <c r="DE149" s="287"/>
      <c r="DF149" s="287"/>
      <c r="DG149" s="287"/>
      <c r="DH149" s="287"/>
      <c r="DI149" s="287"/>
      <c r="DJ149" s="287"/>
      <c r="DK149" s="287"/>
      <c r="DL149" s="287"/>
      <c r="DM149" s="287"/>
      <c r="DN149" s="287"/>
      <c r="DO149" s="287"/>
      <c r="DP149" s="287"/>
      <c r="DQ149" s="287"/>
      <c r="DR149" s="287"/>
      <c r="DS149" s="287"/>
      <c r="DT149" s="287"/>
      <c r="DU149" s="287"/>
      <c r="DV149" s="287"/>
      <c r="DW149" s="287"/>
      <c r="DX149" s="287"/>
      <c r="DY149" s="287"/>
      <c r="DZ149" s="287"/>
      <c r="EA149" s="287"/>
      <c r="EB149" s="287"/>
      <c r="EC149" s="287"/>
      <c r="ED149" s="287"/>
      <c r="EE149" s="287"/>
      <c r="EF149" s="287"/>
      <c r="EG149" s="287"/>
      <c r="EH149" s="287"/>
      <c r="EI149" s="287"/>
      <c r="EJ149" s="287"/>
      <c r="EK149" s="287"/>
      <c r="EL149" s="287"/>
      <c r="EM149" s="287"/>
      <c r="EN149" s="287"/>
      <c r="EO149" s="287"/>
      <c r="EP149" s="287"/>
      <c r="EQ149" s="287"/>
      <c r="ER149" s="287"/>
      <c r="ES149" s="287"/>
      <c r="ET149" s="287"/>
      <c r="EU149" s="287"/>
      <c r="EV149" s="287"/>
      <c r="EW149" s="287"/>
      <c r="EX149" s="287"/>
      <c r="EY149" s="287"/>
      <c r="EZ149" s="287"/>
      <c r="FA149" s="287"/>
      <c r="FB149" s="287"/>
      <c r="FC149" s="287"/>
      <c r="FD149" s="287"/>
      <c r="FE149" s="287"/>
      <c r="FF149" s="287"/>
      <c r="FG149" s="287"/>
      <c r="FH149" s="287"/>
      <c r="FI149" s="287"/>
      <c r="FJ149" s="287"/>
      <c r="FK149" s="287"/>
      <c r="FL149" s="287"/>
      <c r="FM149" s="287"/>
      <c r="FN149" s="287"/>
      <c r="FO149" s="287"/>
      <c r="FP149" s="287"/>
      <c r="FQ149" s="287"/>
      <c r="FR149" s="287"/>
      <c r="FS149" s="287"/>
      <c r="FT149" s="287"/>
      <c r="FU149" s="287"/>
      <c r="FV149" s="287"/>
      <c r="FW149" s="287"/>
      <c r="FX149" s="287"/>
      <c r="FY149" s="287"/>
      <c r="FZ149" s="287"/>
      <c r="GA149" s="287"/>
      <c r="GB149" s="287"/>
      <c r="GC149" s="287"/>
      <c r="GD149" s="287"/>
      <c r="GE149" s="287"/>
      <c r="GF149" s="287"/>
      <c r="GG149" s="287"/>
      <c r="GH149" s="287"/>
      <c r="GI149" s="287"/>
      <c r="GJ149" s="287"/>
      <c r="GK149" s="287"/>
      <c r="GL149" s="287"/>
      <c r="GM149" s="287"/>
      <c r="GN149" s="287"/>
      <c r="GO149" s="287"/>
      <c r="GP149" s="287"/>
      <c r="GQ149" s="287"/>
      <c r="GR149" s="287"/>
      <c r="GS149" s="287"/>
      <c r="GT149" s="287"/>
      <c r="GU149" s="287"/>
      <c r="GV149" s="287"/>
      <c r="GW149" s="287"/>
      <c r="GX149" s="287"/>
      <c r="GY149" s="287"/>
      <c r="GZ149" s="287"/>
      <c r="HA149" s="287"/>
      <c r="HB149" s="287"/>
      <c r="HC149" s="287"/>
      <c r="HD149" s="287"/>
      <c r="HE149" s="287"/>
      <c r="HF149" s="287"/>
      <c r="HG149" s="287"/>
      <c r="HH149" s="287"/>
      <c r="HI149" s="287"/>
      <c r="HJ149" s="287"/>
      <c r="HK149" s="287"/>
      <c r="HL149" s="287"/>
      <c r="HM149" s="287"/>
      <c r="HN149" s="287"/>
      <c r="HO149" s="287"/>
      <c r="HP149" s="287"/>
      <c r="HQ149" s="287"/>
      <c r="HR149" s="287"/>
      <c r="HS149" s="287"/>
      <c r="HT149" s="287"/>
      <c r="HU149" s="287"/>
      <c r="HV149" s="287"/>
      <c r="HW149" s="287"/>
      <c r="HX149" s="287"/>
      <c r="HY149" s="287"/>
      <c r="HZ149" s="287"/>
      <c r="IA149" s="287"/>
      <c r="IB149" s="287"/>
      <c r="IC149" s="287"/>
      <c r="ID149" s="287"/>
      <c r="IE149" s="287"/>
      <c r="IF149" s="287"/>
      <c r="IG149" s="287"/>
      <c r="IH149" s="287"/>
      <c r="II149" s="287"/>
      <c r="IJ149" s="287"/>
      <c r="IK149" s="287"/>
      <c r="IL149" s="287"/>
      <c r="IM149" s="287"/>
      <c r="IN149" s="287"/>
      <c r="IO149" s="287"/>
      <c r="IP149" s="287"/>
      <c r="IQ149" s="287"/>
      <c r="IR149" s="287"/>
      <c r="IS149" s="287"/>
      <c r="IT149" s="287"/>
      <c r="IU149" s="287"/>
      <c r="IV149" s="287"/>
    </row>
    <row r="150" spans="1:256" s="251" customFormat="1" ht="16.5" customHeight="1" x14ac:dyDescent="0.2">
      <c r="A150" s="283" t="str">
        <f>'Financial Ratios'!A78</f>
        <v>Gross margin ratio</v>
      </c>
      <c r="B150" s="510" t="str">
        <f>'Financial Ratios'!B78</f>
        <v>NA</v>
      </c>
      <c r="C150" s="545">
        <f>'Financial Ratios'!C78</f>
        <v>0.39</v>
      </c>
      <c r="D150" s="545">
        <f>'Financial Ratios'!D78</f>
        <v>0.38100000000000001</v>
      </c>
      <c r="E150" s="545">
        <f>'Financial Ratios'!E78</f>
        <v>0.379</v>
      </c>
      <c r="F150" s="545">
        <f>'Financial Ratios'!F78</f>
        <v>0.371</v>
      </c>
      <c r="G150" s="545">
        <f>'Financial Ratios'!G78</f>
        <v>0.35299999999999998</v>
      </c>
      <c r="H150" s="1347" t="s">
        <v>1101</v>
      </c>
      <c r="I150" s="726"/>
      <c r="J150" s="726"/>
      <c r="K150" s="726"/>
      <c r="L150" s="726"/>
      <c r="M150" s="726"/>
      <c r="N150" s="726"/>
      <c r="O150" s="726"/>
      <c r="P150" s="726"/>
      <c r="Q150" s="726"/>
      <c r="R150" s="726"/>
      <c r="S150" s="726"/>
      <c r="T150" s="726"/>
      <c r="U150" s="726"/>
      <c r="V150" s="726"/>
      <c r="W150" s="726"/>
      <c r="X150" s="726"/>
      <c r="Y150" s="726"/>
      <c r="Z150" s="726"/>
      <c r="AA150" s="226"/>
      <c r="AB150" s="226"/>
      <c r="AC150" s="226"/>
      <c r="AD150" s="226"/>
      <c r="AE150" s="226"/>
      <c r="AF150" s="226"/>
      <c r="AG150" s="226"/>
      <c r="AH150" s="226"/>
      <c r="AI150" s="226"/>
      <c r="AJ150" s="226"/>
      <c r="AK150" s="226"/>
      <c r="AL150" s="226"/>
      <c r="AM150" s="226"/>
      <c r="AN150" s="226"/>
      <c r="AO150" s="226"/>
      <c r="AP150" s="226"/>
      <c r="AQ150" s="226"/>
      <c r="AR150" s="226"/>
      <c r="AS150" s="226"/>
      <c r="AT150" s="226"/>
      <c r="AU150" s="226"/>
      <c r="AV150" s="226"/>
      <c r="AW150" s="226"/>
      <c r="AX150" s="226"/>
      <c r="AY150" s="226"/>
      <c r="AZ150" s="226"/>
      <c r="BA150" s="226"/>
      <c r="BB150" s="226"/>
      <c r="BC150" s="226"/>
      <c r="BD150" s="226"/>
      <c r="BE150" s="226"/>
      <c r="BF150" s="226"/>
      <c r="BG150" s="226"/>
      <c r="BH150" s="226"/>
      <c r="BI150" s="226"/>
      <c r="BJ150" s="226"/>
      <c r="BK150" s="226"/>
      <c r="BL150" s="226"/>
      <c r="BM150" s="226"/>
      <c r="BN150" s="226"/>
      <c r="BO150" s="226"/>
      <c r="BP150" s="226"/>
      <c r="BQ150" s="226"/>
      <c r="BR150" s="226"/>
      <c r="BS150" s="226"/>
      <c r="BT150" s="226"/>
      <c r="BU150" s="226"/>
      <c r="BV150" s="226"/>
      <c r="BW150" s="226"/>
      <c r="BX150" s="226"/>
      <c r="BY150" s="226"/>
      <c r="BZ150" s="226"/>
      <c r="CA150" s="226"/>
      <c r="CB150" s="226"/>
      <c r="CC150" s="226"/>
      <c r="CD150" s="226"/>
      <c r="CE150" s="226"/>
      <c r="CF150" s="226"/>
      <c r="CG150" s="226"/>
      <c r="CH150" s="226"/>
      <c r="CI150" s="226"/>
      <c r="CJ150" s="226"/>
      <c r="CK150" s="226"/>
      <c r="CL150" s="226"/>
      <c r="CM150" s="226"/>
      <c r="CN150" s="226"/>
      <c r="CO150" s="226"/>
      <c r="CP150" s="226"/>
      <c r="CQ150" s="226"/>
      <c r="CR150" s="226"/>
      <c r="CS150" s="226"/>
      <c r="CT150" s="226"/>
      <c r="CU150" s="226"/>
      <c r="CV150" s="226"/>
      <c r="CW150" s="226"/>
      <c r="CX150" s="226"/>
      <c r="CY150" s="226"/>
      <c r="CZ150" s="226"/>
      <c r="DA150" s="226"/>
      <c r="DB150" s="226"/>
      <c r="DC150" s="226"/>
      <c r="DD150" s="226"/>
      <c r="DE150" s="226"/>
      <c r="DF150" s="226"/>
      <c r="DG150" s="226"/>
      <c r="DH150" s="226"/>
      <c r="DI150" s="226"/>
      <c r="DJ150" s="226"/>
      <c r="DK150" s="226"/>
      <c r="DL150" s="226"/>
      <c r="DM150" s="226"/>
      <c r="DN150" s="226"/>
      <c r="DO150" s="226"/>
      <c r="DP150" s="226"/>
      <c r="DQ150" s="226"/>
      <c r="DR150" s="226"/>
      <c r="DS150" s="226"/>
      <c r="DT150" s="226"/>
      <c r="DU150" s="226"/>
      <c r="DV150" s="226"/>
      <c r="DW150" s="226"/>
      <c r="DX150" s="226"/>
      <c r="DY150" s="226"/>
      <c r="DZ150" s="226"/>
      <c r="EA150" s="226"/>
      <c r="EB150" s="226"/>
      <c r="EC150" s="226"/>
      <c r="ED150" s="226"/>
      <c r="EE150" s="226"/>
      <c r="EF150" s="226"/>
      <c r="EG150" s="226"/>
      <c r="EH150" s="226"/>
      <c r="EI150" s="226"/>
      <c r="EJ150" s="226"/>
      <c r="EK150" s="226"/>
      <c r="EL150" s="226"/>
      <c r="EM150" s="226"/>
      <c r="EN150" s="226"/>
      <c r="EO150" s="226"/>
      <c r="EP150" s="226"/>
      <c r="EQ150" s="226"/>
      <c r="ER150" s="226"/>
      <c r="ES150" s="226"/>
      <c r="ET150" s="226"/>
      <c r="EU150" s="226"/>
      <c r="EV150" s="226"/>
      <c r="EW150" s="226"/>
      <c r="EX150" s="226"/>
      <c r="EY150" s="226"/>
      <c r="EZ150" s="226"/>
      <c r="FA150" s="226"/>
      <c r="FB150" s="226"/>
      <c r="FC150" s="226"/>
      <c r="FD150" s="226"/>
      <c r="FE150" s="226"/>
      <c r="FF150" s="226"/>
      <c r="FG150" s="226"/>
      <c r="FH150" s="226"/>
      <c r="FI150" s="226"/>
      <c r="FJ150" s="226"/>
      <c r="FK150" s="226"/>
      <c r="FL150" s="226"/>
      <c r="FM150" s="226"/>
      <c r="FN150" s="226"/>
      <c r="FO150" s="226"/>
      <c r="FP150" s="226"/>
      <c r="FQ150" s="226"/>
      <c r="FR150" s="226"/>
      <c r="FS150" s="226"/>
      <c r="FT150" s="226"/>
      <c r="FU150" s="226"/>
      <c r="FV150" s="226"/>
      <c r="FW150" s="226"/>
      <c r="FX150" s="226"/>
      <c r="FY150" s="226"/>
      <c r="FZ150" s="226"/>
      <c r="GA150" s="226"/>
      <c r="GB150" s="226"/>
      <c r="GC150" s="226"/>
      <c r="GD150" s="226"/>
      <c r="GE150" s="226"/>
      <c r="GF150" s="226"/>
      <c r="GG150" s="226"/>
      <c r="GH150" s="226"/>
      <c r="GI150" s="226"/>
      <c r="GJ150" s="226"/>
      <c r="GK150" s="226"/>
      <c r="GL150" s="226"/>
      <c r="GM150" s="226"/>
      <c r="GN150" s="226"/>
      <c r="GO150" s="226"/>
      <c r="GP150" s="226"/>
      <c r="GQ150" s="226"/>
      <c r="GR150" s="226"/>
      <c r="GS150" s="226"/>
      <c r="GT150" s="226"/>
      <c r="GU150" s="226"/>
      <c r="GV150" s="226"/>
      <c r="GW150" s="226"/>
      <c r="GX150" s="226"/>
      <c r="GY150" s="226"/>
      <c r="GZ150" s="226"/>
      <c r="HA150" s="226"/>
      <c r="HB150" s="226"/>
      <c r="HC150" s="226"/>
      <c r="HD150" s="226"/>
      <c r="HE150" s="226"/>
      <c r="HF150" s="226"/>
      <c r="HG150" s="226"/>
      <c r="HH150" s="226"/>
      <c r="HI150" s="226"/>
      <c r="HJ150" s="226"/>
      <c r="HK150" s="226"/>
      <c r="HL150" s="226"/>
      <c r="HM150" s="226"/>
      <c r="HN150" s="226"/>
      <c r="HO150" s="226"/>
      <c r="HP150" s="226"/>
      <c r="HQ150" s="226"/>
      <c r="HR150" s="226"/>
      <c r="HS150" s="226"/>
      <c r="HT150" s="226"/>
      <c r="HU150" s="226"/>
      <c r="HV150" s="226"/>
      <c r="HW150" s="226"/>
      <c r="HX150" s="226"/>
      <c r="HY150" s="226"/>
      <c r="HZ150" s="226"/>
      <c r="IA150" s="226"/>
      <c r="IB150" s="226"/>
      <c r="IC150" s="226"/>
      <c r="ID150" s="226"/>
      <c r="IE150" s="226"/>
      <c r="IF150" s="226"/>
      <c r="IG150" s="226"/>
      <c r="IH150" s="226"/>
      <c r="II150" s="226"/>
      <c r="IJ150" s="226"/>
      <c r="IK150" s="226"/>
      <c r="IL150" s="226"/>
      <c r="IM150" s="226"/>
      <c r="IN150" s="226"/>
      <c r="IO150" s="226"/>
      <c r="IP150" s="226"/>
      <c r="IQ150" s="226"/>
      <c r="IR150" s="226"/>
      <c r="IS150" s="226"/>
      <c r="IT150" s="226"/>
      <c r="IU150" s="226"/>
      <c r="IV150" s="226"/>
    </row>
    <row r="151" spans="1:256" s="346" customFormat="1" ht="16.5" customHeight="1" x14ac:dyDescent="0.2">
      <c r="A151" s="278" t="str">
        <f>'Financial Ratios'!A81</f>
        <v xml:space="preserve"> SG&amp;A-to-sales ratio</v>
      </c>
      <c r="B151" s="510" t="str">
        <f>'Financial Ratios'!B81</f>
        <v>NA</v>
      </c>
      <c r="C151" s="545">
        <f>'Financial Ratios'!C81</f>
        <v>0.22</v>
      </c>
      <c r="D151" s="545">
        <f>'Financial Ratios'!D81</f>
        <v>0.218</v>
      </c>
      <c r="E151" s="545">
        <f>'Financial Ratios'!E81</f>
        <v>0.21299999999999999</v>
      </c>
      <c r="F151" s="545">
        <f>'Financial Ratios'!F81</f>
        <v>0.214</v>
      </c>
      <c r="G151" s="545">
        <f>'Financial Ratios'!G81</f>
        <v>0.217</v>
      </c>
      <c r="H151" s="1314"/>
      <c r="I151" s="718"/>
      <c r="J151" s="718"/>
      <c r="K151" s="718"/>
      <c r="L151" s="718"/>
      <c r="M151" s="718"/>
      <c r="N151" s="718"/>
      <c r="O151" s="718"/>
      <c r="P151" s="718"/>
      <c r="Q151" s="718"/>
      <c r="R151" s="718"/>
      <c r="S151" s="718"/>
      <c r="T151" s="718"/>
      <c r="U151" s="718"/>
      <c r="V151" s="718"/>
      <c r="W151" s="718"/>
      <c r="X151" s="718"/>
      <c r="Y151" s="718"/>
      <c r="Z151" s="718"/>
      <c r="AA151" s="96"/>
      <c r="AB151" s="96"/>
      <c r="AC151" s="96"/>
      <c r="AD151" s="96"/>
      <c r="AE151" s="96"/>
      <c r="AF151" s="96"/>
      <c r="AG151" s="96"/>
      <c r="AH151" s="96"/>
      <c r="AI151" s="96"/>
      <c r="AJ151" s="96"/>
      <c r="AK151" s="96"/>
      <c r="AL151" s="96"/>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c r="BN151" s="96"/>
      <c r="BO151" s="96"/>
      <c r="BP151" s="96"/>
      <c r="BQ151" s="96"/>
      <c r="BR151" s="96"/>
      <c r="BS151" s="96"/>
      <c r="BT151" s="96"/>
      <c r="BU151" s="96"/>
      <c r="BV151" s="96"/>
      <c r="BW151" s="96"/>
      <c r="BX151" s="96"/>
      <c r="BY151" s="96"/>
      <c r="BZ151" s="96"/>
      <c r="CA151" s="96"/>
      <c r="CB151" s="96"/>
      <c r="CC151" s="96"/>
      <c r="CD151" s="96"/>
      <c r="CE151" s="96"/>
      <c r="CF151" s="96"/>
      <c r="CG151" s="96"/>
      <c r="CH151" s="96"/>
      <c r="CI151" s="96"/>
      <c r="CJ151" s="96"/>
      <c r="CK151" s="96"/>
      <c r="CL151" s="96"/>
      <c r="CM151" s="96"/>
      <c r="CN151" s="96"/>
      <c r="CO151" s="96"/>
      <c r="CP151" s="96"/>
      <c r="CQ151" s="96"/>
      <c r="CR151" s="96"/>
      <c r="CS151" s="96"/>
      <c r="CT151" s="96"/>
      <c r="CU151" s="96"/>
      <c r="CV151" s="96"/>
      <c r="CW151" s="96"/>
      <c r="CX151" s="96"/>
      <c r="CY151" s="96"/>
      <c r="CZ151" s="96"/>
      <c r="DA151" s="96"/>
      <c r="DB151" s="96"/>
      <c r="DC151" s="96"/>
      <c r="DD151" s="96"/>
      <c r="DE151" s="96"/>
      <c r="DF151" s="96"/>
      <c r="DG151" s="96"/>
      <c r="DH151" s="96"/>
      <c r="DI151" s="96"/>
      <c r="DJ151" s="96"/>
      <c r="DK151" s="96"/>
      <c r="DL151" s="96"/>
      <c r="DM151" s="96"/>
      <c r="DN151" s="96"/>
      <c r="DO151" s="96"/>
      <c r="DP151" s="96"/>
      <c r="DQ151" s="96"/>
      <c r="DR151" s="96"/>
      <c r="DS151" s="96"/>
      <c r="DT151" s="96"/>
      <c r="DU151" s="96"/>
      <c r="DV151" s="96"/>
      <c r="DW151" s="96"/>
      <c r="DX151" s="96"/>
      <c r="DY151" s="96"/>
      <c r="DZ151" s="96"/>
      <c r="EA151" s="96"/>
      <c r="EB151" s="96"/>
      <c r="EC151" s="96"/>
      <c r="ED151" s="96"/>
      <c r="EE151" s="96"/>
      <c r="EF151" s="96"/>
      <c r="EG151" s="96"/>
      <c r="EH151" s="96"/>
      <c r="EI151" s="96"/>
      <c r="EJ151" s="96"/>
      <c r="EK151" s="96"/>
      <c r="EL151" s="96"/>
      <c r="EM151" s="96"/>
      <c r="EN151" s="96"/>
      <c r="EO151" s="96"/>
      <c r="EP151" s="96"/>
      <c r="EQ151" s="96"/>
      <c r="ER151" s="96"/>
      <c r="ES151" s="96"/>
      <c r="ET151" s="96"/>
      <c r="EU151" s="96"/>
      <c r="EV151" s="96"/>
      <c r="EW151" s="96"/>
      <c r="EX151" s="96"/>
      <c r="EY151" s="96"/>
      <c r="EZ151" s="96"/>
      <c r="FA151" s="96"/>
      <c r="FB151" s="96"/>
      <c r="FC151" s="96"/>
      <c r="FD151" s="96"/>
      <c r="FE151" s="96"/>
      <c r="FF151" s="96"/>
      <c r="FG151" s="96"/>
      <c r="FH151" s="96"/>
      <c r="FI151" s="96"/>
      <c r="FJ151" s="96"/>
      <c r="FK151" s="96"/>
      <c r="FL151" s="96"/>
      <c r="FM151" s="96"/>
      <c r="FN151" s="96"/>
      <c r="FO151" s="96"/>
      <c r="FP151" s="96"/>
      <c r="FQ151" s="96"/>
      <c r="FR151" s="96"/>
      <c r="FS151" s="96"/>
      <c r="FT151" s="96"/>
      <c r="FU151" s="96"/>
      <c r="FV151" s="96"/>
      <c r="FW151" s="96"/>
      <c r="FX151" s="96"/>
      <c r="FY151" s="96"/>
      <c r="FZ151" s="96"/>
      <c r="GA151" s="96"/>
      <c r="GB151" s="96"/>
      <c r="GC151" s="96"/>
      <c r="GD151" s="96"/>
      <c r="GE151" s="96"/>
      <c r="GF151" s="96"/>
      <c r="GG151" s="96"/>
      <c r="GH151" s="96"/>
      <c r="GI151" s="96"/>
      <c r="GJ151" s="96"/>
      <c r="GK151" s="96"/>
      <c r="GL151" s="96"/>
      <c r="GM151" s="96"/>
      <c r="GN151" s="96"/>
      <c r="GO151" s="96"/>
      <c r="GP151" s="96"/>
      <c r="GQ151" s="96"/>
      <c r="GR151" s="96"/>
      <c r="GS151" s="96"/>
      <c r="GT151" s="96"/>
      <c r="GU151" s="96"/>
      <c r="GV151" s="96"/>
      <c r="GW151" s="96"/>
      <c r="GX151" s="96"/>
      <c r="GY151" s="96"/>
      <c r="GZ151" s="96"/>
      <c r="HA151" s="96"/>
      <c r="HB151" s="96"/>
      <c r="HC151" s="96"/>
      <c r="HD151" s="96"/>
      <c r="HE151" s="96"/>
      <c r="HF151" s="96"/>
      <c r="HG151" s="96"/>
      <c r="HH151" s="96"/>
      <c r="HI151" s="96"/>
      <c r="HJ151" s="96"/>
      <c r="HK151" s="96"/>
      <c r="HL151" s="96"/>
      <c r="HM151" s="96"/>
      <c r="HN151" s="96"/>
      <c r="HO151" s="96"/>
      <c r="HP151" s="96"/>
      <c r="HQ151" s="96"/>
      <c r="HR151" s="96"/>
      <c r="HS151" s="96"/>
      <c r="HT151" s="96"/>
      <c r="HU151" s="96"/>
      <c r="HV151" s="96"/>
      <c r="HW151" s="96"/>
      <c r="HX151" s="96"/>
      <c r="HY151" s="96"/>
      <c r="HZ151" s="96"/>
      <c r="IA151" s="96"/>
      <c r="IB151" s="96"/>
      <c r="IC151" s="96"/>
      <c r="ID151" s="96"/>
      <c r="IE151" s="96"/>
      <c r="IF151" s="96"/>
      <c r="IG151" s="96"/>
      <c r="IH151" s="96"/>
      <c r="II151" s="96"/>
      <c r="IJ151" s="96"/>
      <c r="IK151" s="96"/>
      <c r="IL151" s="96"/>
      <c r="IM151" s="96"/>
      <c r="IN151" s="96"/>
      <c r="IO151" s="96"/>
      <c r="IP151" s="96"/>
      <c r="IQ151" s="96"/>
      <c r="IR151" s="96"/>
      <c r="IS151" s="96"/>
      <c r="IT151" s="96"/>
      <c r="IU151" s="96"/>
      <c r="IV151" s="96"/>
    </row>
    <row r="152" spans="1:256" s="346" customFormat="1" ht="16.5" customHeight="1" x14ac:dyDescent="0.2">
      <c r="A152" s="278" t="str">
        <f>'Financial Ratios'!A84</f>
        <v xml:space="preserve"> R&amp;D-to-sales ratio</v>
      </c>
      <c r="B152" s="510" t="str">
        <f>'Financial Ratios'!B84</f>
        <v>NA</v>
      </c>
      <c r="C152" s="545">
        <f>'Financial Ratios'!C84</f>
        <v>0</v>
      </c>
      <c r="D152" s="545">
        <f>'Financial Ratios'!D84</f>
        <v>0</v>
      </c>
      <c r="E152" s="545">
        <f>'Financial Ratios'!E84</f>
        <v>0</v>
      </c>
      <c r="F152" s="545">
        <f>'Financial Ratios'!F84</f>
        <v>0</v>
      </c>
      <c r="G152" s="545">
        <f>'Financial Ratios'!G84</f>
        <v>0</v>
      </c>
      <c r="H152" s="1314"/>
      <c r="I152" s="718"/>
      <c r="J152" s="718"/>
      <c r="K152" s="718"/>
      <c r="L152" s="718"/>
      <c r="M152" s="718"/>
      <c r="N152" s="718"/>
      <c r="O152" s="718"/>
      <c r="P152" s="718"/>
      <c r="Q152" s="718"/>
      <c r="R152" s="718"/>
      <c r="S152" s="718"/>
      <c r="T152" s="718"/>
      <c r="U152" s="718"/>
      <c r="V152" s="718"/>
      <c r="W152" s="718"/>
      <c r="X152" s="718"/>
      <c r="Y152" s="718"/>
      <c r="Z152" s="718"/>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c r="BN152" s="96"/>
      <c r="BO152" s="96"/>
      <c r="BP152" s="96"/>
      <c r="BQ152" s="96"/>
      <c r="BR152" s="96"/>
      <c r="BS152" s="96"/>
      <c r="BT152" s="96"/>
      <c r="BU152" s="96"/>
      <c r="BV152" s="96"/>
      <c r="BW152" s="96"/>
      <c r="BX152" s="96"/>
      <c r="BY152" s="96"/>
      <c r="BZ152" s="96"/>
      <c r="CA152" s="96"/>
      <c r="CB152" s="96"/>
      <c r="CC152" s="96"/>
      <c r="CD152" s="96"/>
      <c r="CE152" s="96"/>
      <c r="CF152" s="96"/>
      <c r="CG152" s="96"/>
      <c r="CH152" s="96"/>
      <c r="CI152" s="96"/>
      <c r="CJ152" s="96"/>
      <c r="CK152" s="96"/>
      <c r="CL152" s="96"/>
      <c r="CM152" s="96"/>
      <c r="CN152" s="96"/>
      <c r="CO152" s="96"/>
      <c r="CP152" s="96"/>
      <c r="CQ152" s="96"/>
      <c r="CR152" s="96"/>
      <c r="CS152" s="96"/>
      <c r="CT152" s="96"/>
      <c r="CU152" s="96"/>
      <c r="CV152" s="96"/>
      <c r="CW152" s="96"/>
      <c r="CX152" s="96"/>
      <c r="CY152" s="96"/>
      <c r="CZ152" s="96"/>
      <c r="DA152" s="96"/>
      <c r="DB152" s="96"/>
      <c r="DC152" s="96"/>
      <c r="DD152" s="96"/>
      <c r="DE152" s="96"/>
      <c r="DF152" s="96"/>
      <c r="DG152" s="96"/>
      <c r="DH152" s="96"/>
      <c r="DI152" s="96"/>
      <c r="DJ152" s="96"/>
      <c r="DK152" s="96"/>
      <c r="DL152" s="96"/>
      <c r="DM152" s="96"/>
      <c r="DN152" s="96"/>
      <c r="DO152" s="96"/>
      <c r="DP152" s="96"/>
      <c r="DQ152" s="96"/>
      <c r="DR152" s="96"/>
      <c r="DS152" s="96"/>
      <c r="DT152" s="96"/>
      <c r="DU152" s="96"/>
      <c r="DV152" s="96"/>
      <c r="DW152" s="96"/>
      <c r="DX152" s="96"/>
      <c r="DY152" s="96"/>
      <c r="DZ152" s="96"/>
      <c r="EA152" s="96"/>
      <c r="EB152" s="96"/>
      <c r="EC152" s="96"/>
      <c r="ED152" s="96"/>
      <c r="EE152" s="96"/>
      <c r="EF152" s="96"/>
      <c r="EG152" s="96"/>
      <c r="EH152" s="96"/>
      <c r="EI152" s="96"/>
      <c r="EJ152" s="96"/>
      <c r="EK152" s="96"/>
      <c r="EL152" s="96"/>
      <c r="EM152" s="96"/>
      <c r="EN152" s="96"/>
      <c r="EO152" s="96"/>
      <c r="EP152" s="96"/>
      <c r="EQ152" s="96"/>
      <c r="ER152" s="96"/>
      <c r="ES152" s="96"/>
      <c r="ET152" s="96"/>
      <c r="EU152" s="96"/>
      <c r="EV152" s="96"/>
      <c r="EW152" s="96"/>
      <c r="EX152" s="96"/>
      <c r="EY152" s="96"/>
      <c r="EZ152" s="96"/>
      <c r="FA152" s="96"/>
      <c r="FB152" s="96"/>
      <c r="FC152" s="96"/>
      <c r="FD152" s="96"/>
      <c r="FE152" s="96"/>
      <c r="FF152" s="96"/>
      <c r="FG152" s="96"/>
      <c r="FH152" s="96"/>
      <c r="FI152" s="96"/>
      <c r="FJ152" s="96"/>
      <c r="FK152" s="96"/>
      <c r="FL152" s="96"/>
      <c r="FM152" s="96"/>
      <c r="FN152" s="96"/>
      <c r="FO152" s="96"/>
      <c r="FP152" s="96"/>
      <c r="FQ152" s="96"/>
      <c r="FR152" s="96"/>
      <c r="FS152" s="96"/>
      <c r="FT152" s="96"/>
      <c r="FU152" s="96"/>
      <c r="FV152" s="96"/>
      <c r="FW152" s="96"/>
      <c r="FX152" s="96"/>
      <c r="FY152" s="96"/>
      <c r="FZ152" s="96"/>
      <c r="GA152" s="96"/>
      <c r="GB152" s="96"/>
      <c r="GC152" s="96"/>
      <c r="GD152" s="96"/>
      <c r="GE152" s="96"/>
      <c r="GF152" s="96"/>
      <c r="GG152" s="96"/>
      <c r="GH152" s="96"/>
      <c r="GI152" s="96"/>
      <c r="GJ152" s="96"/>
      <c r="GK152" s="96"/>
      <c r="GL152" s="96"/>
      <c r="GM152" s="96"/>
      <c r="GN152" s="96"/>
      <c r="GO152" s="96"/>
      <c r="GP152" s="96"/>
      <c r="GQ152" s="96"/>
      <c r="GR152" s="96"/>
      <c r="GS152" s="96"/>
      <c r="GT152" s="96"/>
      <c r="GU152" s="96"/>
      <c r="GV152" s="96"/>
      <c r="GW152" s="96"/>
      <c r="GX152" s="96"/>
      <c r="GY152" s="96"/>
      <c r="GZ152" s="96"/>
      <c r="HA152" s="96"/>
      <c r="HB152" s="96"/>
      <c r="HC152" s="96"/>
      <c r="HD152" s="96"/>
      <c r="HE152" s="96"/>
      <c r="HF152" s="96"/>
      <c r="HG152" s="96"/>
      <c r="HH152" s="96"/>
      <c r="HI152" s="96"/>
      <c r="HJ152" s="96"/>
      <c r="HK152" s="96"/>
      <c r="HL152" s="96"/>
      <c r="HM152" s="96"/>
      <c r="HN152" s="96"/>
      <c r="HO152" s="96"/>
      <c r="HP152" s="96"/>
      <c r="HQ152" s="96"/>
      <c r="HR152" s="96"/>
      <c r="HS152" s="96"/>
      <c r="HT152" s="96"/>
      <c r="HU152" s="96"/>
      <c r="HV152" s="96"/>
      <c r="HW152" s="96"/>
      <c r="HX152" s="96"/>
      <c r="HY152" s="96"/>
      <c r="HZ152" s="96"/>
      <c r="IA152" s="96"/>
      <c r="IB152" s="96"/>
      <c r="IC152" s="96"/>
      <c r="ID152" s="96"/>
      <c r="IE152" s="96"/>
      <c r="IF152" s="96"/>
      <c r="IG152" s="96"/>
      <c r="IH152" s="96"/>
      <c r="II152" s="96"/>
      <c r="IJ152" s="96"/>
      <c r="IK152" s="96"/>
      <c r="IL152" s="96"/>
      <c r="IM152" s="96"/>
      <c r="IN152" s="96"/>
      <c r="IO152" s="96"/>
      <c r="IP152" s="96"/>
      <c r="IQ152" s="96"/>
      <c r="IR152" s="96"/>
      <c r="IS152" s="96"/>
      <c r="IT152" s="96"/>
      <c r="IU152" s="96"/>
      <c r="IV152" s="96"/>
    </row>
    <row r="153" spans="1:256" s="346" customFormat="1" ht="16.5" customHeight="1" x14ac:dyDescent="0.2">
      <c r="A153" s="278" t="str">
        <f>'Financial Ratios'!A87</f>
        <v xml:space="preserve"> Advertising-to-sales ratio</v>
      </c>
      <c r="B153" s="510" t="str">
        <f>'Financial Ratios'!B87</f>
        <v>NA</v>
      </c>
      <c r="C153" s="545">
        <f>'Financial Ratios'!C87</f>
        <v>1.2E-2</v>
      </c>
      <c r="D153" s="545">
        <f>'Financial Ratios'!D87</f>
        <v>1.2999999999999999E-2</v>
      </c>
      <c r="E153" s="545">
        <f>'Financial Ratios'!E87</f>
        <v>1.2999999999999999E-2</v>
      </c>
      <c r="F153" s="545">
        <f>'Financial Ratios'!F87</f>
        <v>1.4E-2</v>
      </c>
      <c r="G153" s="545">
        <f>'Financial Ratios'!G87</f>
        <v>1.6E-2</v>
      </c>
      <c r="H153" s="1314"/>
      <c r="I153" s="718"/>
      <c r="J153" s="718"/>
      <c r="K153" s="718"/>
      <c r="L153" s="718"/>
      <c r="M153" s="718"/>
      <c r="N153" s="718"/>
      <c r="O153" s="718"/>
      <c r="P153" s="718"/>
      <c r="Q153" s="718"/>
      <c r="R153" s="718"/>
      <c r="S153" s="718"/>
      <c r="T153" s="718"/>
      <c r="U153" s="718"/>
      <c r="V153" s="718"/>
      <c r="W153" s="718"/>
      <c r="X153" s="718"/>
      <c r="Y153" s="718"/>
      <c r="Z153" s="718"/>
      <c r="AA153" s="96"/>
      <c r="AB153" s="96"/>
      <c r="AC153" s="96"/>
      <c r="AD153" s="96"/>
      <c r="AE153" s="96"/>
      <c r="AF153" s="96"/>
      <c r="AG153" s="96"/>
      <c r="AH153" s="96"/>
      <c r="AI153" s="96"/>
      <c r="AJ153" s="96"/>
      <c r="AK153" s="96"/>
      <c r="AL153" s="96"/>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c r="BN153" s="96"/>
      <c r="BO153" s="96"/>
      <c r="BP153" s="96"/>
      <c r="BQ153" s="96"/>
      <c r="BR153" s="96"/>
      <c r="BS153" s="96"/>
      <c r="BT153" s="96"/>
      <c r="BU153" s="96"/>
      <c r="BV153" s="96"/>
      <c r="BW153" s="96"/>
      <c r="BX153" s="96"/>
      <c r="BY153" s="96"/>
      <c r="BZ153" s="96"/>
      <c r="CA153" s="96"/>
      <c r="CB153" s="96"/>
      <c r="CC153" s="96"/>
      <c r="CD153" s="96"/>
      <c r="CE153" s="96"/>
      <c r="CF153" s="96"/>
      <c r="CG153" s="96"/>
      <c r="CH153" s="96"/>
      <c r="CI153" s="96"/>
      <c r="CJ153" s="96"/>
      <c r="CK153" s="96"/>
      <c r="CL153" s="96"/>
      <c r="CM153" s="96"/>
      <c r="CN153" s="96"/>
      <c r="CO153" s="96"/>
      <c r="CP153" s="96"/>
      <c r="CQ153" s="96"/>
      <c r="CR153" s="96"/>
      <c r="CS153" s="96"/>
      <c r="CT153" s="96"/>
      <c r="CU153" s="96"/>
      <c r="CV153" s="96"/>
      <c r="CW153" s="96"/>
      <c r="CX153" s="96"/>
      <c r="CY153" s="96"/>
      <c r="CZ153" s="96"/>
      <c r="DA153" s="96"/>
      <c r="DB153" s="96"/>
      <c r="DC153" s="96"/>
      <c r="DD153" s="96"/>
      <c r="DE153" s="96"/>
      <c r="DF153" s="96"/>
      <c r="DG153" s="96"/>
      <c r="DH153" s="96"/>
      <c r="DI153" s="96"/>
      <c r="DJ153" s="96"/>
      <c r="DK153" s="96"/>
      <c r="DL153" s="96"/>
      <c r="DM153" s="96"/>
      <c r="DN153" s="96"/>
      <c r="DO153" s="96"/>
      <c r="DP153" s="96"/>
      <c r="DQ153" s="96"/>
      <c r="DR153" s="96"/>
      <c r="DS153" s="96"/>
      <c r="DT153" s="96"/>
      <c r="DU153" s="96"/>
      <c r="DV153" s="96"/>
      <c r="DW153" s="96"/>
      <c r="DX153" s="96"/>
      <c r="DY153" s="96"/>
      <c r="DZ153" s="96"/>
      <c r="EA153" s="96"/>
      <c r="EB153" s="96"/>
      <c r="EC153" s="96"/>
      <c r="ED153" s="96"/>
      <c r="EE153" s="96"/>
      <c r="EF153" s="96"/>
      <c r="EG153" s="96"/>
      <c r="EH153" s="96"/>
      <c r="EI153" s="96"/>
      <c r="EJ153" s="96"/>
      <c r="EK153" s="96"/>
      <c r="EL153" s="96"/>
      <c r="EM153" s="96"/>
      <c r="EN153" s="96"/>
      <c r="EO153" s="96"/>
      <c r="EP153" s="96"/>
      <c r="EQ153" s="96"/>
      <c r="ER153" s="96"/>
      <c r="ES153" s="96"/>
      <c r="ET153" s="96"/>
      <c r="EU153" s="96"/>
      <c r="EV153" s="96"/>
      <c r="EW153" s="96"/>
      <c r="EX153" s="96"/>
      <c r="EY153" s="96"/>
      <c r="EZ153" s="96"/>
      <c r="FA153" s="96"/>
      <c r="FB153" s="96"/>
      <c r="FC153" s="96"/>
      <c r="FD153" s="96"/>
      <c r="FE153" s="96"/>
      <c r="FF153" s="96"/>
      <c r="FG153" s="96"/>
      <c r="FH153" s="96"/>
      <c r="FI153" s="96"/>
      <c r="FJ153" s="96"/>
      <c r="FK153" s="96"/>
      <c r="FL153" s="96"/>
      <c r="FM153" s="96"/>
      <c r="FN153" s="96"/>
      <c r="FO153" s="96"/>
      <c r="FP153" s="96"/>
      <c r="FQ153" s="96"/>
      <c r="FR153" s="96"/>
      <c r="FS153" s="96"/>
      <c r="FT153" s="96"/>
      <c r="FU153" s="96"/>
      <c r="FV153" s="96"/>
      <c r="FW153" s="96"/>
      <c r="FX153" s="96"/>
      <c r="FY153" s="96"/>
      <c r="FZ153" s="96"/>
      <c r="GA153" s="96"/>
      <c r="GB153" s="96"/>
      <c r="GC153" s="96"/>
      <c r="GD153" s="96"/>
      <c r="GE153" s="96"/>
      <c r="GF153" s="96"/>
      <c r="GG153" s="96"/>
      <c r="GH153" s="96"/>
      <c r="GI153" s="96"/>
      <c r="GJ153" s="96"/>
      <c r="GK153" s="96"/>
      <c r="GL153" s="96"/>
      <c r="GM153" s="96"/>
      <c r="GN153" s="96"/>
      <c r="GO153" s="96"/>
      <c r="GP153" s="96"/>
      <c r="GQ153" s="96"/>
      <c r="GR153" s="96"/>
      <c r="GS153" s="96"/>
      <c r="GT153" s="96"/>
      <c r="GU153" s="96"/>
      <c r="GV153" s="96"/>
      <c r="GW153" s="96"/>
      <c r="GX153" s="96"/>
      <c r="GY153" s="96"/>
      <c r="GZ153" s="96"/>
      <c r="HA153" s="96"/>
      <c r="HB153" s="96"/>
      <c r="HC153" s="96"/>
      <c r="HD153" s="96"/>
      <c r="HE153" s="96"/>
      <c r="HF153" s="96"/>
      <c r="HG153" s="96"/>
      <c r="HH153" s="96"/>
      <c r="HI153" s="96"/>
      <c r="HJ153" s="96"/>
      <c r="HK153" s="96"/>
      <c r="HL153" s="96"/>
      <c r="HM153" s="96"/>
      <c r="HN153" s="96"/>
      <c r="HO153" s="96"/>
      <c r="HP153" s="96"/>
      <c r="HQ153" s="96"/>
      <c r="HR153" s="96"/>
      <c r="HS153" s="96"/>
      <c r="HT153" s="96"/>
      <c r="HU153" s="96"/>
      <c r="HV153" s="96"/>
      <c r="HW153" s="96"/>
      <c r="HX153" s="96"/>
      <c r="HY153" s="96"/>
      <c r="HZ153" s="96"/>
      <c r="IA153" s="96"/>
      <c r="IB153" s="96"/>
      <c r="IC153" s="96"/>
      <c r="ID153" s="96"/>
      <c r="IE153" s="96"/>
      <c r="IF153" s="96"/>
      <c r="IG153" s="96"/>
      <c r="IH153" s="96"/>
      <c r="II153" s="96"/>
      <c r="IJ153" s="96"/>
      <c r="IK153" s="96"/>
      <c r="IL153" s="96"/>
      <c r="IM153" s="96"/>
      <c r="IN153" s="96"/>
      <c r="IO153" s="96"/>
      <c r="IP153" s="96"/>
      <c r="IQ153" s="96"/>
      <c r="IR153" s="96"/>
      <c r="IS153" s="96"/>
      <c r="IT153" s="96"/>
      <c r="IU153" s="96"/>
      <c r="IV153" s="96"/>
    </row>
    <row r="154" spans="1:256" s="346" customFormat="1" ht="16.5" customHeight="1" x14ac:dyDescent="0.2">
      <c r="A154" s="278" t="str">
        <f>'Financial Ratios'!A90</f>
        <v xml:space="preserve"> Other operating expense-to-sales ratio</v>
      </c>
      <c r="B154" s="510" t="str">
        <f>'Financial Ratios'!B90</f>
        <v>NA</v>
      </c>
      <c r="C154" s="545">
        <f>'Financial Ratios'!C90</f>
        <v>0</v>
      </c>
      <c r="D154" s="545">
        <f>'Financial Ratios'!D90</f>
        <v>0</v>
      </c>
      <c r="E154" s="545">
        <f>'Financial Ratios'!E90</f>
        <v>0</v>
      </c>
      <c r="F154" s="545">
        <f>'Financial Ratios'!F90</f>
        <v>0</v>
      </c>
      <c r="G154" s="545">
        <f>'Financial Ratios'!G90</f>
        <v>0</v>
      </c>
      <c r="H154" s="1314"/>
      <c r="I154" s="718"/>
      <c r="J154" s="718"/>
      <c r="K154" s="718"/>
      <c r="L154" s="718"/>
      <c r="M154" s="718"/>
      <c r="N154" s="718"/>
      <c r="O154" s="718"/>
      <c r="P154" s="718"/>
      <c r="Q154" s="718"/>
      <c r="R154" s="718"/>
      <c r="S154" s="718"/>
      <c r="T154" s="718"/>
      <c r="U154" s="718"/>
      <c r="V154" s="718"/>
      <c r="W154" s="718"/>
      <c r="X154" s="718"/>
      <c r="Y154" s="718"/>
      <c r="Z154" s="718"/>
      <c r="AA154" s="96"/>
      <c r="AB154" s="96"/>
      <c r="AC154" s="96"/>
      <c r="AD154" s="96"/>
      <c r="AE154" s="96"/>
      <c r="AF154" s="96"/>
      <c r="AG154" s="96"/>
      <c r="AH154" s="96"/>
      <c r="AI154" s="96"/>
      <c r="AJ154" s="96"/>
      <c r="AK154" s="96"/>
      <c r="AL154" s="96"/>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c r="BN154" s="96"/>
      <c r="BO154" s="96"/>
      <c r="BP154" s="96"/>
      <c r="BQ154" s="96"/>
      <c r="BR154" s="96"/>
      <c r="BS154" s="96"/>
      <c r="BT154" s="96"/>
      <c r="BU154" s="96"/>
      <c r="BV154" s="96"/>
      <c r="BW154" s="96"/>
      <c r="BX154" s="96"/>
      <c r="BY154" s="96"/>
      <c r="BZ154" s="96"/>
      <c r="CA154" s="96"/>
      <c r="CB154" s="96"/>
      <c r="CC154" s="96"/>
      <c r="CD154" s="96"/>
      <c r="CE154" s="96"/>
      <c r="CF154" s="96"/>
      <c r="CG154" s="96"/>
      <c r="CH154" s="96"/>
      <c r="CI154" s="96"/>
      <c r="CJ154" s="96"/>
      <c r="CK154" s="96"/>
      <c r="CL154" s="96"/>
      <c r="CM154" s="96"/>
      <c r="CN154" s="96"/>
      <c r="CO154" s="96"/>
      <c r="CP154" s="96"/>
      <c r="CQ154" s="96"/>
      <c r="CR154" s="96"/>
      <c r="CS154" s="96"/>
      <c r="CT154" s="96"/>
      <c r="CU154" s="96"/>
      <c r="CV154" s="96"/>
      <c r="CW154" s="96"/>
      <c r="CX154" s="96"/>
      <c r="CY154" s="96"/>
      <c r="CZ154" s="96"/>
      <c r="DA154" s="96"/>
      <c r="DB154" s="96"/>
      <c r="DC154" s="96"/>
      <c r="DD154" s="96"/>
      <c r="DE154" s="96"/>
      <c r="DF154" s="96"/>
      <c r="DG154" s="96"/>
      <c r="DH154" s="96"/>
      <c r="DI154" s="96"/>
      <c r="DJ154" s="96"/>
      <c r="DK154" s="96"/>
      <c r="DL154" s="96"/>
      <c r="DM154" s="96"/>
      <c r="DN154" s="96"/>
      <c r="DO154" s="96"/>
      <c r="DP154" s="96"/>
      <c r="DQ154" s="96"/>
      <c r="DR154" s="96"/>
      <c r="DS154" s="96"/>
      <c r="DT154" s="96"/>
      <c r="DU154" s="96"/>
      <c r="DV154" s="96"/>
      <c r="DW154" s="96"/>
      <c r="DX154" s="96"/>
      <c r="DY154" s="96"/>
      <c r="DZ154" s="96"/>
      <c r="EA154" s="96"/>
      <c r="EB154" s="96"/>
      <c r="EC154" s="96"/>
      <c r="ED154" s="96"/>
      <c r="EE154" s="96"/>
      <c r="EF154" s="96"/>
      <c r="EG154" s="96"/>
      <c r="EH154" s="96"/>
      <c r="EI154" s="96"/>
      <c r="EJ154" s="96"/>
      <c r="EK154" s="96"/>
      <c r="EL154" s="96"/>
      <c r="EM154" s="96"/>
      <c r="EN154" s="96"/>
      <c r="EO154" s="96"/>
      <c r="EP154" s="96"/>
      <c r="EQ154" s="96"/>
      <c r="ER154" s="96"/>
      <c r="ES154" s="96"/>
      <c r="ET154" s="96"/>
      <c r="EU154" s="96"/>
      <c r="EV154" s="96"/>
      <c r="EW154" s="96"/>
      <c r="EX154" s="96"/>
      <c r="EY154" s="96"/>
      <c r="EZ154" s="96"/>
      <c r="FA154" s="96"/>
      <c r="FB154" s="96"/>
      <c r="FC154" s="96"/>
      <c r="FD154" s="96"/>
      <c r="FE154" s="96"/>
      <c r="FF154" s="96"/>
      <c r="FG154" s="96"/>
      <c r="FH154" s="96"/>
      <c r="FI154" s="96"/>
      <c r="FJ154" s="96"/>
      <c r="FK154" s="96"/>
      <c r="FL154" s="96"/>
      <c r="FM154" s="96"/>
      <c r="FN154" s="96"/>
      <c r="FO154" s="96"/>
      <c r="FP154" s="96"/>
      <c r="FQ154" s="96"/>
      <c r="FR154" s="96"/>
      <c r="FS154" s="96"/>
      <c r="FT154" s="96"/>
      <c r="FU154" s="96"/>
      <c r="FV154" s="96"/>
      <c r="FW154" s="96"/>
      <c r="FX154" s="96"/>
      <c r="FY154" s="96"/>
      <c r="FZ154" s="96"/>
      <c r="GA154" s="96"/>
      <c r="GB154" s="96"/>
      <c r="GC154" s="96"/>
      <c r="GD154" s="96"/>
      <c r="GE154" s="96"/>
      <c r="GF154" s="96"/>
      <c r="GG154" s="96"/>
      <c r="GH154" s="96"/>
      <c r="GI154" s="96"/>
      <c r="GJ154" s="96"/>
      <c r="GK154" s="96"/>
      <c r="GL154" s="96"/>
      <c r="GM154" s="96"/>
      <c r="GN154" s="96"/>
      <c r="GO154" s="96"/>
      <c r="GP154" s="96"/>
      <c r="GQ154" s="96"/>
      <c r="GR154" s="96"/>
      <c r="GS154" s="96"/>
      <c r="GT154" s="96"/>
      <c r="GU154" s="96"/>
      <c r="GV154" s="96"/>
      <c r="GW154" s="96"/>
      <c r="GX154" s="96"/>
      <c r="GY154" s="96"/>
      <c r="GZ154" s="96"/>
      <c r="HA154" s="96"/>
      <c r="HB154" s="96"/>
      <c r="HC154" s="96"/>
      <c r="HD154" s="96"/>
      <c r="HE154" s="96"/>
      <c r="HF154" s="96"/>
      <c r="HG154" s="96"/>
      <c r="HH154" s="96"/>
      <c r="HI154" s="96"/>
      <c r="HJ154" s="96"/>
      <c r="HK154" s="96"/>
      <c r="HL154" s="96"/>
      <c r="HM154" s="96"/>
      <c r="HN154" s="96"/>
      <c r="HO154" s="96"/>
      <c r="HP154" s="96"/>
      <c r="HQ154" s="96"/>
      <c r="HR154" s="96"/>
      <c r="HS154" s="96"/>
      <c r="HT154" s="96"/>
      <c r="HU154" s="96"/>
      <c r="HV154" s="96"/>
      <c r="HW154" s="96"/>
      <c r="HX154" s="96"/>
      <c r="HY154" s="96"/>
      <c r="HZ154" s="96"/>
      <c r="IA154" s="96"/>
      <c r="IB154" s="96"/>
      <c r="IC154" s="96"/>
      <c r="ID154" s="96"/>
      <c r="IE154" s="96"/>
      <c r="IF154" s="96"/>
      <c r="IG154" s="96"/>
      <c r="IH154" s="96"/>
      <c r="II154" s="96"/>
      <c r="IJ154" s="96"/>
      <c r="IK154" s="96"/>
      <c r="IL154" s="96"/>
      <c r="IM154" s="96"/>
      <c r="IN154" s="96"/>
      <c r="IO154" s="96"/>
      <c r="IP154" s="96"/>
      <c r="IQ154" s="96"/>
      <c r="IR154" s="96"/>
      <c r="IS154" s="96"/>
      <c r="IT154" s="96"/>
      <c r="IU154" s="96"/>
      <c r="IV154" s="96"/>
    </row>
    <row r="155" spans="1:256" s="346" customFormat="1" ht="16.5" customHeight="1" x14ac:dyDescent="0.2">
      <c r="A155" s="278" t="s">
        <v>530</v>
      </c>
      <c r="B155" s="510" t="s">
        <v>47</v>
      </c>
      <c r="C155" s="281">
        <f>C115</f>
        <v>0.3892433910665451</v>
      </c>
      <c r="D155" s="281">
        <f>D115</f>
        <v>0.37918552036199094</v>
      </c>
      <c r="E155" s="281">
        <f>E115</f>
        <v>0.38280542986425337</v>
      </c>
      <c r="F155" s="281">
        <f>F115</f>
        <v>0.39238095238095239</v>
      </c>
      <c r="G155" s="281">
        <f>G115</f>
        <v>0.38533333333333336</v>
      </c>
      <c r="H155" s="1315"/>
      <c r="I155" s="718"/>
      <c r="J155" s="718"/>
      <c r="K155" s="718"/>
      <c r="L155" s="718"/>
      <c r="M155" s="718"/>
      <c r="N155" s="718"/>
      <c r="O155" s="718"/>
      <c r="P155" s="718"/>
      <c r="Q155" s="718"/>
      <c r="R155" s="718"/>
      <c r="S155" s="718"/>
      <c r="T155" s="718"/>
      <c r="U155" s="718"/>
      <c r="V155" s="718"/>
      <c r="W155" s="718"/>
      <c r="X155" s="718"/>
      <c r="Y155" s="718"/>
      <c r="Z155" s="718"/>
      <c r="AA155" s="96"/>
      <c r="AB155" s="96"/>
      <c r="AC155" s="96"/>
      <c r="AD155" s="96"/>
      <c r="AE155" s="96"/>
      <c r="AF155" s="96"/>
      <c r="AG155" s="96"/>
      <c r="AH155" s="96"/>
      <c r="AI155" s="96"/>
      <c r="AJ155" s="96"/>
      <c r="AK155" s="96"/>
      <c r="AL155" s="96"/>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c r="BN155" s="96"/>
      <c r="BO155" s="96"/>
      <c r="BP155" s="96"/>
      <c r="BQ155" s="96"/>
      <c r="BR155" s="96"/>
      <c r="BS155" s="96"/>
      <c r="BT155" s="96"/>
      <c r="BU155" s="96"/>
      <c r="BV155" s="96"/>
      <c r="BW155" s="96"/>
      <c r="BX155" s="96"/>
      <c r="BY155" s="96"/>
      <c r="BZ155" s="96"/>
      <c r="CA155" s="96"/>
      <c r="CB155" s="96"/>
      <c r="CC155" s="96"/>
      <c r="CD155" s="96"/>
      <c r="CE155" s="96"/>
      <c r="CF155" s="96"/>
      <c r="CG155" s="96"/>
      <c r="CH155" s="96"/>
      <c r="CI155" s="96"/>
      <c r="CJ155" s="96"/>
      <c r="CK155" s="96"/>
      <c r="CL155" s="96"/>
      <c r="CM155" s="96"/>
      <c r="CN155" s="96"/>
      <c r="CO155" s="96"/>
      <c r="CP155" s="96"/>
      <c r="CQ155" s="96"/>
      <c r="CR155" s="96"/>
      <c r="CS155" s="96"/>
      <c r="CT155" s="96"/>
      <c r="CU155" s="96"/>
      <c r="CV155" s="96"/>
      <c r="CW155" s="96"/>
      <c r="CX155" s="96"/>
      <c r="CY155" s="96"/>
      <c r="CZ155" s="96"/>
      <c r="DA155" s="96"/>
      <c r="DB155" s="96"/>
      <c r="DC155" s="96"/>
      <c r="DD155" s="96"/>
      <c r="DE155" s="96"/>
      <c r="DF155" s="96"/>
      <c r="DG155" s="96"/>
      <c r="DH155" s="96"/>
      <c r="DI155" s="96"/>
      <c r="DJ155" s="96"/>
      <c r="DK155" s="96"/>
      <c r="DL155" s="96"/>
      <c r="DM155" s="96"/>
      <c r="DN155" s="96"/>
      <c r="DO155" s="96"/>
      <c r="DP155" s="96"/>
      <c r="DQ155" s="96"/>
      <c r="DR155" s="96"/>
      <c r="DS155" s="96"/>
      <c r="DT155" s="96"/>
      <c r="DU155" s="96"/>
      <c r="DV155" s="96"/>
      <c r="DW155" s="96"/>
      <c r="DX155" s="96"/>
      <c r="DY155" s="96"/>
      <c r="DZ155" s="96"/>
      <c r="EA155" s="96"/>
      <c r="EB155" s="96"/>
      <c r="EC155" s="96"/>
      <c r="ED155" s="96"/>
      <c r="EE155" s="96"/>
      <c r="EF155" s="96"/>
      <c r="EG155" s="96"/>
      <c r="EH155" s="96"/>
      <c r="EI155" s="96"/>
      <c r="EJ155" s="96"/>
      <c r="EK155" s="96"/>
      <c r="EL155" s="96"/>
      <c r="EM155" s="96"/>
      <c r="EN155" s="96"/>
      <c r="EO155" s="96"/>
      <c r="EP155" s="96"/>
      <c r="EQ155" s="96"/>
      <c r="ER155" s="96"/>
      <c r="ES155" s="96"/>
      <c r="ET155" s="96"/>
      <c r="EU155" s="96"/>
      <c r="EV155" s="96"/>
      <c r="EW155" s="96"/>
      <c r="EX155" s="96"/>
      <c r="EY155" s="96"/>
      <c r="EZ155" s="96"/>
      <c r="FA155" s="96"/>
      <c r="FB155" s="96"/>
      <c r="FC155" s="96"/>
      <c r="FD155" s="96"/>
      <c r="FE155" s="96"/>
      <c r="FF155" s="96"/>
      <c r="FG155" s="96"/>
      <c r="FH155" s="96"/>
      <c r="FI155" s="96"/>
      <c r="FJ155" s="96"/>
      <c r="FK155" s="96"/>
      <c r="FL155" s="96"/>
      <c r="FM155" s="96"/>
      <c r="FN155" s="96"/>
      <c r="FO155" s="96"/>
      <c r="FP155" s="96"/>
      <c r="FQ155" s="96"/>
      <c r="FR155" s="96"/>
      <c r="FS155" s="96"/>
      <c r="FT155" s="96"/>
      <c r="FU155" s="96"/>
      <c r="FV155" s="96"/>
      <c r="FW155" s="96"/>
      <c r="FX155" s="96"/>
      <c r="FY155" s="96"/>
      <c r="FZ155" s="96"/>
      <c r="GA155" s="96"/>
      <c r="GB155" s="96"/>
      <c r="GC155" s="96"/>
      <c r="GD155" s="96"/>
      <c r="GE155" s="96"/>
      <c r="GF155" s="96"/>
      <c r="GG155" s="96"/>
      <c r="GH155" s="96"/>
      <c r="GI155" s="96"/>
      <c r="GJ155" s="96"/>
      <c r="GK155" s="96"/>
      <c r="GL155" s="96"/>
      <c r="GM155" s="96"/>
      <c r="GN155" s="96"/>
      <c r="GO155" s="96"/>
      <c r="GP155" s="96"/>
      <c r="GQ155" s="96"/>
      <c r="GR155" s="96"/>
      <c r="GS155" s="96"/>
      <c r="GT155" s="96"/>
      <c r="GU155" s="96"/>
      <c r="GV155" s="96"/>
      <c r="GW155" s="96"/>
      <c r="GX155" s="96"/>
      <c r="GY155" s="96"/>
      <c r="GZ155" s="96"/>
      <c r="HA155" s="96"/>
      <c r="HB155" s="96"/>
      <c r="HC155" s="96"/>
      <c r="HD155" s="96"/>
      <c r="HE155" s="96"/>
      <c r="HF155" s="96"/>
      <c r="HG155" s="96"/>
      <c r="HH155" s="96"/>
      <c r="HI155" s="96"/>
      <c r="HJ155" s="96"/>
      <c r="HK155" s="96"/>
      <c r="HL155" s="96"/>
      <c r="HM155" s="96"/>
      <c r="HN155" s="96"/>
      <c r="HO155" s="96"/>
      <c r="HP155" s="96"/>
      <c r="HQ155" s="96"/>
      <c r="HR155" s="96"/>
      <c r="HS155" s="96"/>
      <c r="HT155" s="96"/>
      <c r="HU155" s="96"/>
      <c r="HV155" s="96"/>
      <c r="HW155" s="96"/>
      <c r="HX155" s="96"/>
      <c r="HY155" s="96"/>
      <c r="HZ155" s="96"/>
      <c r="IA155" s="96"/>
      <c r="IB155" s="96"/>
      <c r="IC155" s="96"/>
      <c r="ID155" s="96"/>
      <c r="IE155" s="96"/>
      <c r="IF155" s="96"/>
      <c r="IG155" s="96"/>
      <c r="IH155" s="96"/>
      <c r="II155" s="96"/>
      <c r="IJ155" s="96"/>
      <c r="IK155" s="96"/>
      <c r="IL155" s="96"/>
      <c r="IM155" s="96"/>
      <c r="IN155" s="96"/>
      <c r="IO155" s="96"/>
      <c r="IP155" s="96"/>
      <c r="IQ155" s="96"/>
      <c r="IR155" s="96"/>
      <c r="IS155" s="96"/>
      <c r="IT155" s="96"/>
      <c r="IU155" s="96"/>
      <c r="IV155" s="96"/>
    </row>
    <row r="156" spans="1:256" s="208" customFormat="1" ht="9" customHeight="1" x14ac:dyDescent="0.2">
      <c r="A156" s="193"/>
      <c r="B156" s="471"/>
      <c r="C156" s="199"/>
      <c r="D156" s="199"/>
      <c r="E156" s="199"/>
      <c r="F156" s="199"/>
      <c r="G156" s="199"/>
      <c r="H156" s="193"/>
      <c r="I156" s="677"/>
      <c r="J156" s="677"/>
      <c r="K156" s="677"/>
      <c r="L156" s="677"/>
      <c r="M156" s="677"/>
      <c r="N156" s="677"/>
      <c r="O156" s="677"/>
      <c r="P156" s="677"/>
      <c r="Q156" s="677"/>
      <c r="R156" s="677"/>
      <c r="S156" s="677"/>
      <c r="T156" s="677"/>
      <c r="U156" s="677"/>
      <c r="V156" s="677"/>
      <c r="W156" s="677"/>
      <c r="X156" s="677"/>
      <c r="Y156" s="677"/>
      <c r="Z156" s="677"/>
      <c r="AA156" s="193"/>
      <c r="AB156" s="193"/>
      <c r="AC156" s="193"/>
      <c r="AD156" s="193"/>
      <c r="AE156" s="193"/>
      <c r="AF156" s="193"/>
      <c r="AG156" s="193"/>
      <c r="AH156" s="193"/>
      <c r="AI156" s="193"/>
      <c r="AJ156" s="193"/>
      <c r="AK156" s="193"/>
      <c r="AL156" s="193"/>
      <c r="AM156" s="193"/>
      <c r="AN156" s="193"/>
      <c r="AO156" s="193"/>
      <c r="AP156" s="193"/>
      <c r="AQ156" s="193"/>
      <c r="AR156" s="193"/>
      <c r="AS156" s="193"/>
      <c r="AT156" s="193"/>
      <c r="AU156" s="193"/>
      <c r="AV156" s="193"/>
      <c r="AW156" s="193"/>
      <c r="AX156" s="193"/>
      <c r="AY156" s="193"/>
      <c r="AZ156" s="193"/>
      <c r="BA156" s="193"/>
      <c r="BB156" s="193"/>
      <c r="BC156" s="193"/>
      <c r="BD156" s="193"/>
      <c r="BE156" s="193"/>
      <c r="BF156" s="193"/>
      <c r="BG156" s="193"/>
      <c r="BH156" s="193"/>
      <c r="BI156" s="193"/>
      <c r="BJ156" s="193"/>
      <c r="BK156" s="193"/>
      <c r="BL156" s="193"/>
      <c r="BM156" s="193"/>
      <c r="BN156" s="193"/>
      <c r="BO156" s="193"/>
      <c r="BP156" s="193"/>
      <c r="BQ156" s="193"/>
      <c r="BR156" s="193"/>
      <c r="BS156" s="193"/>
      <c r="BT156" s="193"/>
      <c r="BU156" s="193"/>
      <c r="BV156" s="193"/>
      <c r="BW156" s="193"/>
      <c r="BX156" s="193"/>
      <c r="BY156" s="193"/>
      <c r="BZ156" s="193"/>
      <c r="CA156" s="193"/>
      <c r="CB156" s="193"/>
      <c r="CC156" s="193"/>
      <c r="CD156" s="193"/>
      <c r="CE156" s="193"/>
      <c r="CF156" s="193"/>
      <c r="CG156" s="193"/>
      <c r="CH156" s="193"/>
      <c r="CI156" s="193"/>
      <c r="CJ156" s="193"/>
      <c r="CK156" s="193"/>
      <c r="CL156" s="193"/>
      <c r="CM156" s="193"/>
      <c r="CN156" s="193"/>
      <c r="CO156" s="193"/>
      <c r="CP156" s="193"/>
      <c r="CQ156" s="193"/>
      <c r="CR156" s="193"/>
      <c r="CS156" s="193"/>
      <c r="CT156" s="193"/>
      <c r="CU156" s="193"/>
      <c r="CV156" s="193"/>
      <c r="CW156" s="193"/>
      <c r="CX156" s="193"/>
      <c r="CY156" s="193"/>
      <c r="CZ156" s="193"/>
      <c r="DA156" s="193"/>
      <c r="DB156" s="193"/>
      <c r="DC156" s="193"/>
      <c r="DD156" s="193"/>
      <c r="DE156" s="193"/>
      <c r="DF156" s="193"/>
      <c r="DG156" s="193"/>
      <c r="DH156" s="193"/>
      <c r="DI156" s="193"/>
      <c r="DJ156" s="193"/>
      <c r="DK156" s="193"/>
      <c r="DL156" s="193"/>
      <c r="DM156" s="193"/>
      <c r="DN156" s="193"/>
      <c r="DO156" s="193"/>
      <c r="DP156" s="193"/>
      <c r="DQ156" s="193"/>
      <c r="DR156" s="193"/>
      <c r="DS156" s="193"/>
      <c r="DT156" s="193"/>
      <c r="DU156" s="193"/>
      <c r="DV156" s="193"/>
      <c r="DW156" s="193"/>
      <c r="DX156" s="193"/>
      <c r="DY156" s="193"/>
      <c r="DZ156" s="193"/>
      <c r="EA156" s="193"/>
      <c r="EB156" s="193"/>
      <c r="EC156" s="193"/>
      <c r="ED156" s="193"/>
      <c r="EE156" s="193"/>
      <c r="EF156" s="193"/>
      <c r="EG156" s="193"/>
      <c r="EH156" s="193"/>
      <c r="EI156" s="193"/>
      <c r="EJ156" s="193"/>
      <c r="EK156" s="193"/>
      <c r="EL156" s="193"/>
      <c r="EM156" s="193"/>
      <c r="EN156" s="193"/>
      <c r="EO156" s="193"/>
      <c r="EP156" s="193"/>
      <c r="EQ156" s="193"/>
      <c r="ER156" s="193"/>
      <c r="ES156" s="193"/>
      <c r="ET156" s="193"/>
      <c r="EU156" s="193"/>
      <c r="EV156" s="193"/>
      <c r="EW156" s="193"/>
      <c r="EX156" s="193"/>
      <c r="EY156" s="193"/>
      <c r="EZ156" s="193"/>
      <c r="FA156" s="193"/>
      <c r="FB156" s="193"/>
      <c r="FC156" s="193"/>
      <c r="FD156" s="193"/>
      <c r="FE156" s="193"/>
      <c r="FF156" s="193"/>
      <c r="FG156" s="193"/>
      <c r="FH156" s="193"/>
      <c r="FI156" s="193"/>
      <c r="FJ156" s="193"/>
      <c r="FK156" s="193"/>
      <c r="FL156" s="193"/>
      <c r="FM156" s="193"/>
      <c r="FN156" s="193"/>
      <c r="FO156" s="193"/>
      <c r="FP156" s="193"/>
      <c r="FQ156" s="193"/>
      <c r="FR156" s="193"/>
      <c r="FS156" s="193"/>
      <c r="FT156" s="193"/>
      <c r="FU156" s="193"/>
      <c r="FV156" s="193"/>
      <c r="FW156" s="193"/>
      <c r="FX156" s="193"/>
      <c r="FY156" s="193"/>
      <c r="FZ156" s="193"/>
      <c r="GA156" s="193"/>
      <c r="GB156" s="193"/>
      <c r="GC156" s="193"/>
      <c r="GD156" s="193"/>
      <c r="GE156" s="193"/>
      <c r="GF156" s="193"/>
      <c r="GG156" s="193"/>
      <c r="GH156" s="193"/>
      <c r="GI156" s="193"/>
      <c r="GJ156" s="193"/>
      <c r="GK156" s="193"/>
      <c r="GL156" s="193"/>
      <c r="GM156" s="193"/>
      <c r="GN156" s="193"/>
      <c r="GO156" s="193"/>
      <c r="GP156" s="193"/>
      <c r="GQ156" s="193"/>
      <c r="GR156" s="193"/>
      <c r="GS156" s="193"/>
      <c r="GT156" s="193"/>
      <c r="GU156" s="193"/>
      <c r="GV156" s="193"/>
      <c r="GW156" s="193"/>
      <c r="GX156" s="193"/>
      <c r="GY156" s="193"/>
      <c r="GZ156" s="193"/>
      <c r="HA156" s="193"/>
      <c r="HB156" s="193"/>
      <c r="HC156" s="193"/>
      <c r="HD156" s="193"/>
      <c r="HE156" s="193"/>
      <c r="HF156" s="193"/>
      <c r="HG156" s="193"/>
      <c r="HH156" s="193"/>
      <c r="HI156" s="193"/>
      <c r="HJ156" s="193"/>
      <c r="HK156" s="193"/>
      <c r="HL156" s="193"/>
      <c r="HM156" s="193"/>
      <c r="HN156" s="193"/>
      <c r="HO156" s="193"/>
      <c r="HP156" s="193"/>
      <c r="HQ156" s="193"/>
      <c r="HR156" s="193"/>
      <c r="HS156" s="193"/>
      <c r="HT156" s="193"/>
      <c r="HU156" s="193"/>
      <c r="HV156" s="193"/>
      <c r="HW156" s="193"/>
      <c r="HX156" s="193"/>
      <c r="HY156" s="193"/>
      <c r="HZ156" s="193"/>
      <c r="IA156" s="193"/>
      <c r="IB156" s="193"/>
      <c r="IC156" s="193"/>
      <c r="ID156" s="193"/>
      <c r="IE156" s="193"/>
      <c r="IF156" s="193"/>
      <c r="IG156" s="193"/>
      <c r="IH156" s="193"/>
      <c r="II156" s="193"/>
      <c r="IJ156" s="193"/>
      <c r="IK156" s="193"/>
      <c r="IL156" s="193"/>
      <c r="IM156" s="193"/>
      <c r="IN156" s="193"/>
      <c r="IO156" s="193"/>
      <c r="IP156" s="193"/>
      <c r="IQ156" s="193"/>
      <c r="IR156" s="193"/>
      <c r="IS156" s="193"/>
      <c r="IT156" s="193"/>
      <c r="IU156" s="193"/>
      <c r="IV156" s="193"/>
    </row>
    <row r="157" spans="1:256" s="428" customFormat="1" ht="18" customHeight="1" x14ac:dyDescent="0.2">
      <c r="A157" s="286" t="s">
        <v>86</v>
      </c>
      <c r="B157" s="509"/>
      <c r="C157" s="287"/>
      <c r="D157" s="287"/>
      <c r="E157" s="287"/>
      <c r="F157" s="287"/>
      <c r="G157" s="287"/>
      <c r="H157" s="287"/>
      <c r="I157" s="1059"/>
      <c r="J157" s="1059"/>
      <c r="K157" s="1059"/>
      <c r="L157" s="1059"/>
      <c r="M157" s="1059"/>
      <c r="N157" s="1059"/>
      <c r="O157" s="1059"/>
      <c r="P157" s="1059"/>
      <c r="Q157" s="1059"/>
      <c r="R157" s="1059"/>
      <c r="S157" s="1059"/>
      <c r="T157" s="1059"/>
      <c r="U157" s="1059"/>
      <c r="V157" s="1059"/>
      <c r="W157" s="1059"/>
      <c r="X157" s="1059"/>
      <c r="Y157" s="1059"/>
      <c r="Z157" s="1059"/>
      <c r="AA157" s="287"/>
      <c r="AB157" s="287"/>
      <c r="AC157" s="287"/>
      <c r="AD157" s="287"/>
      <c r="AE157" s="287"/>
      <c r="AF157" s="287"/>
      <c r="AG157" s="287"/>
      <c r="AH157" s="287"/>
      <c r="AI157" s="287"/>
      <c r="AJ157" s="287"/>
      <c r="AK157" s="287"/>
      <c r="AL157" s="287"/>
      <c r="AM157" s="287"/>
      <c r="AN157" s="287"/>
      <c r="AO157" s="287"/>
      <c r="AP157" s="287"/>
      <c r="AQ157" s="287"/>
      <c r="AR157" s="287"/>
      <c r="AS157" s="287"/>
      <c r="AT157" s="287"/>
      <c r="AU157" s="287"/>
      <c r="AV157" s="287"/>
      <c r="AW157" s="287"/>
      <c r="AX157" s="287"/>
      <c r="AY157" s="287"/>
      <c r="AZ157" s="287"/>
      <c r="BA157" s="287"/>
      <c r="BB157" s="287"/>
      <c r="BC157" s="287"/>
      <c r="BD157" s="287"/>
      <c r="BE157" s="287"/>
      <c r="BF157" s="287"/>
      <c r="BG157" s="287"/>
      <c r="BH157" s="287"/>
      <c r="BI157" s="287"/>
      <c r="BJ157" s="287"/>
      <c r="BK157" s="287"/>
      <c r="BL157" s="287"/>
      <c r="BM157" s="287"/>
      <c r="BN157" s="287"/>
      <c r="BO157" s="287"/>
      <c r="BP157" s="287"/>
      <c r="BQ157" s="287"/>
      <c r="BR157" s="287"/>
      <c r="BS157" s="287"/>
      <c r="BT157" s="287"/>
      <c r="BU157" s="287"/>
      <c r="BV157" s="287"/>
      <c r="BW157" s="287"/>
      <c r="BX157" s="287"/>
      <c r="BY157" s="287"/>
      <c r="BZ157" s="287"/>
      <c r="CA157" s="287"/>
      <c r="CB157" s="287"/>
      <c r="CC157" s="287"/>
      <c r="CD157" s="287"/>
      <c r="CE157" s="287"/>
      <c r="CF157" s="287"/>
      <c r="CG157" s="287"/>
      <c r="CH157" s="287"/>
      <c r="CI157" s="287"/>
      <c r="CJ157" s="287"/>
      <c r="CK157" s="287"/>
      <c r="CL157" s="287"/>
      <c r="CM157" s="287"/>
      <c r="CN157" s="287"/>
      <c r="CO157" s="287"/>
      <c r="CP157" s="287"/>
      <c r="CQ157" s="287"/>
      <c r="CR157" s="287"/>
      <c r="CS157" s="287"/>
      <c r="CT157" s="287"/>
      <c r="CU157" s="287"/>
      <c r="CV157" s="287"/>
      <c r="CW157" s="287"/>
      <c r="CX157" s="287"/>
      <c r="CY157" s="287"/>
      <c r="CZ157" s="287"/>
      <c r="DA157" s="287"/>
      <c r="DB157" s="287"/>
      <c r="DC157" s="287"/>
      <c r="DD157" s="287"/>
      <c r="DE157" s="287"/>
      <c r="DF157" s="287"/>
      <c r="DG157" s="287"/>
      <c r="DH157" s="287"/>
      <c r="DI157" s="287"/>
      <c r="DJ157" s="287"/>
      <c r="DK157" s="287"/>
      <c r="DL157" s="287"/>
      <c r="DM157" s="287"/>
      <c r="DN157" s="287"/>
      <c r="DO157" s="287"/>
      <c r="DP157" s="287"/>
      <c r="DQ157" s="287"/>
      <c r="DR157" s="287"/>
      <c r="DS157" s="287"/>
      <c r="DT157" s="287"/>
      <c r="DU157" s="287"/>
      <c r="DV157" s="287"/>
      <c r="DW157" s="287"/>
      <c r="DX157" s="287"/>
      <c r="DY157" s="287"/>
      <c r="DZ157" s="287"/>
      <c r="EA157" s="287"/>
      <c r="EB157" s="287"/>
      <c r="EC157" s="287"/>
      <c r="ED157" s="287"/>
      <c r="EE157" s="287"/>
      <c r="EF157" s="287"/>
      <c r="EG157" s="287"/>
      <c r="EH157" s="287"/>
      <c r="EI157" s="287"/>
      <c r="EJ157" s="287"/>
      <c r="EK157" s="287"/>
      <c r="EL157" s="287"/>
      <c r="EM157" s="287"/>
      <c r="EN157" s="287"/>
      <c r="EO157" s="287"/>
      <c r="EP157" s="287"/>
      <c r="EQ157" s="287"/>
      <c r="ER157" s="287"/>
      <c r="ES157" s="287"/>
      <c r="ET157" s="287"/>
      <c r="EU157" s="287"/>
      <c r="EV157" s="287"/>
      <c r="EW157" s="287"/>
      <c r="EX157" s="287"/>
      <c r="EY157" s="287"/>
      <c r="EZ157" s="287"/>
      <c r="FA157" s="287"/>
      <c r="FB157" s="287"/>
      <c r="FC157" s="287"/>
      <c r="FD157" s="287"/>
      <c r="FE157" s="287"/>
      <c r="FF157" s="287"/>
      <c r="FG157" s="287"/>
      <c r="FH157" s="287"/>
      <c r="FI157" s="287"/>
      <c r="FJ157" s="287"/>
      <c r="FK157" s="287"/>
      <c r="FL157" s="287"/>
      <c r="FM157" s="287"/>
      <c r="FN157" s="287"/>
      <c r="FO157" s="287"/>
      <c r="FP157" s="287"/>
      <c r="FQ157" s="287"/>
      <c r="FR157" s="287"/>
      <c r="FS157" s="287"/>
      <c r="FT157" s="287"/>
      <c r="FU157" s="287"/>
      <c r="FV157" s="287"/>
      <c r="FW157" s="287"/>
      <c r="FX157" s="287"/>
      <c r="FY157" s="287"/>
      <c r="FZ157" s="287"/>
      <c r="GA157" s="287"/>
      <c r="GB157" s="287"/>
      <c r="GC157" s="287"/>
      <c r="GD157" s="287"/>
      <c r="GE157" s="287"/>
      <c r="GF157" s="287"/>
      <c r="GG157" s="287"/>
      <c r="GH157" s="287"/>
      <c r="GI157" s="287"/>
      <c r="GJ157" s="287"/>
      <c r="GK157" s="287"/>
      <c r="GL157" s="287"/>
      <c r="GM157" s="287"/>
      <c r="GN157" s="287"/>
      <c r="GO157" s="287"/>
      <c r="GP157" s="287"/>
      <c r="GQ157" s="287"/>
      <c r="GR157" s="287"/>
      <c r="GS157" s="287"/>
      <c r="GT157" s="287"/>
      <c r="GU157" s="287"/>
      <c r="GV157" s="287"/>
      <c r="GW157" s="287"/>
      <c r="GX157" s="287"/>
      <c r="GY157" s="287"/>
      <c r="GZ157" s="287"/>
      <c r="HA157" s="287"/>
      <c r="HB157" s="287"/>
      <c r="HC157" s="287"/>
      <c r="HD157" s="287"/>
      <c r="HE157" s="287"/>
      <c r="HF157" s="287"/>
      <c r="HG157" s="287"/>
      <c r="HH157" s="287"/>
      <c r="HI157" s="287"/>
      <c r="HJ157" s="287"/>
      <c r="HK157" s="287"/>
      <c r="HL157" s="287"/>
      <c r="HM157" s="287"/>
      <c r="HN157" s="287"/>
      <c r="HO157" s="287"/>
      <c r="HP157" s="287"/>
      <c r="HQ157" s="287"/>
      <c r="HR157" s="287"/>
      <c r="HS157" s="287"/>
      <c r="HT157" s="287"/>
      <c r="HU157" s="287"/>
      <c r="HV157" s="287"/>
      <c r="HW157" s="287"/>
      <c r="HX157" s="287"/>
      <c r="HY157" s="287"/>
      <c r="HZ157" s="287"/>
      <c r="IA157" s="287"/>
      <c r="IB157" s="287"/>
      <c r="IC157" s="287"/>
      <c r="ID157" s="287"/>
      <c r="IE157" s="287"/>
      <c r="IF157" s="287"/>
      <c r="IG157" s="287"/>
      <c r="IH157" s="287"/>
      <c r="II157" s="287"/>
      <c r="IJ157" s="287"/>
      <c r="IK157" s="287"/>
      <c r="IL157" s="287"/>
      <c r="IM157" s="287"/>
      <c r="IN157" s="287"/>
      <c r="IO157" s="287"/>
      <c r="IP157" s="287"/>
      <c r="IQ157" s="287"/>
      <c r="IR157" s="287"/>
      <c r="IS157" s="287"/>
      <c r="IT157" s="287"/>
      <c r="IU157" s="287"/>
      <c r="IV157" s="287"/>
    </row>
    <row r="158" spans="1:256" s="251" customFormat="1" ht="16.5" customHeight="1" x14ac:dyDescent="0.2">
      <c r="A158" s="279" t="s">
        <v>550</v>
      </c>
      <c r="B158" s="510" t="str">
        <f>'Financial Ratios'!B20</f>
        <v>NA</v>
      </c>
      <c r="C158" s="283">
        <f>'Financial Ratios'!C20</f>
        <v>67.2</v>
      </c>
      <c r="D158" s="283">
        <f>'Financial Ratios'!D20</f>
        <v>61.7</v>
      </c>
      <c r="E158" s="283">
        <f>'Financial Ratios'!E20</f>
        <v>61.8</v>
      </c>
      <c r="F158" s="283">
        <f>'Financial Ratios'!F20</f>
        <v>59.8</v>
      </c>
      <c r="G158" s="283">
        <f>'Financial Ratios'!G20</f>
        <v>31.3</v>
      </c>
      <c r="H158" s="1347" t="s">
        <v>1101</v>
      </c>
      <c r="I158" s="726"/>
      <c r="J158" s="726"/>
      <c r="K158" s="726"/>
      <c r="L158" s="726"/>
      <c r="M158" s="726"/>
      <c r="N158" s="726"/>
      <c r="O158" s="726"/>
      <c r="P158" s="726"/>
      <c r="Q158" s="726"/>
      <c r="R158" s="726"/>
      <c r="S158" s="726"/>
      <c r="T158" s="726"/>
      <c r="U158" s="726"/>
      <c r="V158" s="726"/>
      <c r="W158" s="726"/>
      <c r="X158" s="726"/>
      <c r="Y158" s="726"/>
      <c r="Z158" s="726"/>
      <c r="AA158" s="226"/>
      <c r="AB158" s="226"/>
      <c r="AC158" s="226"/>
      <c r="AD158" s="226"/>
      <c r="AE158" s="226"/>
      <c r="AF158" s="226"/>
      <c r="AG158" s="226"/>
      <c r="AH158" s="226"/>
      <c r="AI158" s="226"/>
      <c r="AJ158" s="226"/>
      <c r="AK158" s="226"/>
      <c r="AL158" s="226"/>
      <c r="AM158" s="226"/>
      <c r="AN158" s="226"/>
      <c r="AO158" s="226"/>
      <c r="AP158" s="226"/>
      <c r="AQ158" s="226"/>
      <c r="AR158" s="226"/>
      <c r="AS158" s="226"/>
      <c r="AT158" s="226"/>
      <c r="AU158" s="226"/>
      <c r="AV158" s="226"/>
      <c r="AW158" s="226"/>
      <c r="AX158" s="226"/>
      <c r="AY158" s="226"/>
      <c r="AZ158" s="226"/>
      <c r="BA158" s="226"/>
      <c r="BB158" s="226"/>
      <c r="BC158" s="226"/>
      <c r="BD158" s="226"/>
      <c r="BE158" s="226"/>
      <c r="BF158" s="226"/>
      <c r="BG158" s="226"/>
      <c r="BH158" s="226"/>
      <c r="BI158" s="226"/>
      <c r="BJ158" s="226"/>
      <c r="BK158" s="226"/>
      <c r="BL158" s="226"/>
      <c r="BM158" s="226"/>
      <c r="BN158" s="226"/>
      <c r="BO158" s="226"/>
      <c r="BP158" s="226"/>
      <c r="BQ158" s="226"/>
      <c r="BR158" s="226"/>
      <c r="BS158" s="226"/>
      <c r="BT158" s="226"/>
      <c r="BU158" s="226"/>
      <c r="BV158" s="226"/>
      <c r="BW158" s="226"/>
      <c r="BX158" s="226"/>
      <c r="BY158" s="226"/>
      <c r="BZ158" s="226"/>
      <c r="CA158" s="226"/>
      <c r="CB158" s="226"/>
      <c r="CC158" s="226"/>
      <c r="CD158" s="226"/>
      <c r="CE158" s="226"/>
      <c r="CF158" s="226"/>
      <c r="CG158" s="226"/>
      <c r="CH158" s="226"/>
      <c r="CI158" s="226"/>
      <c r="CJ158" s="226"/>
      <c r="CK158" s="226"/>
      <c r="CL158" s="226"/>
      <c r="CM158" s="226"/>
      <c r="CN158" s="226"/>
      <c r="CO158" s="226"/>
      <c r="CP158" s="226"/>
      <c r="CQ158" s="226"/>
      <c r="CR158" s="226"/>
      <c r="CS158" s="226"/>
      <c r="CT158" s="226"/>
      <c r="CU158" s="226"/>
      <c r="CV158" s="226"/>
      <c r="CW158" s="226"/>
      <c r="CX158" s="226"/>
      <c r="CY158" s="226"/>
      <c r="CZ158" s="226"/>
      <c r="DA158" s="226"/>
      <c r="DB158" s="226"/>
      <c r="DC158" s="226"/>
      <c r="DD158" s="226"/>
      <c r="DE158" s="226"/>
      <c r="DF158" s="226"/>
      <c r="DG158" s="226"/>
      <c r="DH158" s="226"/>
      <c r="DI158" s="226"/>
      <c r="DJ158" s="226"/>
      <c r="DK158" s="226"/>
      <c r="DL158" s="226"/>
      <c r="DM158" s="226"/>
      <c r="DN158" s="226"/>
      <c r="DO158" s="226"/>
      <c r="DP158" s="226"/>
      <c r="DQ158" s="226"/>
      <c r="DR158" s="226"/>
      <c r="DS158" s="226"/>
      <c r="DT158" s="226"/>
      <c r="DU158" s="226"/>
      <c r="DV158" s="226"/>
      <c r="DW158" s="226"/>
      <c r="DX158" s="226"/>
      <c r="DY158" s="226"/>
      <c r="DZ158" s="226"/>
      <c r="EA158" s="226"/>
      <c r="EB158" s="226"/>
      <c r="EC158" s="226"/>
      <c r="ED158" s="226"/>
      <c r="EE158" s="226"/>
      <c r="EF158" s="226"/>
      <c r="EG158" s="226"/>
      <c r="EH158" s="226"/>
      <c r="EI158" s="226"/>
      <c r="EJ158" s="226"/>
      <c r="EK158" s="226"/>
      <c r="EL158" s="226"/>
      <c r="EM158" s="226"/>
      <c r="EN158" s="226"/>
      <c r="EO158" s="226"/>
      <c r="EP158" s="226"/>
      <c r="EQ158" s="226"/>
      <c r="ER158" s="226"/>
      <c r="ES158" s="226"/>
      <c r="ET158" s="226"/>
      <c r="EU158" s="226"/>
      <c r="EV158" s="226"/>
      <c r="EW158" s="226"/>
      <c r="EX158" s="226"/>
      <c r="EY158" s="226"/>
      <c r="EZ158" s="226"/>
      <c r="FA158" s="226"/>
      <c r="FB158" s="226"/>
      <c r="FC158" s="226"/>
      <c r="FD158" s="226"/>
      <c r="FE158" s="226"/>
      <c r="FF158" s="226"/>
      <c r="FG158" s="226"/>
      <c r="FH158" s="226"/>
      <c r="FI158" s="226"/>
      <c r="FJ158" s="226"/>
      <c r="FK158" s="226"/>
      <c r="FL158" s="226"/>
      <c r="FM158" s="226"/>
      <c r="FN158" s="226"/>
      <c r="FO158" s="226"/>
      <c r="FP158" s="226"/>
      <c r="FQ158" s="226"/>
      <c r="FR158" s="226"/>
      <c r="FS158" s="226"/>
      <c r="FT158" s="226"/>
      <c r="FU158" s="226"/>
      <c r="FV158" s="226"/>
      <c r="FW158" s="226"/>
      <c r="FX158" s="226"/>
      <c r="FY158" s="226"/>
      <c r="FZ158" s="226"/>
      <c r="GA158" s="226"/>
      <c r="GB158" s="226"/>
      <c r="GC158" s="226"/>
      <c r="GD158" s="226"/>
      <c r="GE158" s="226"/>
      <c r="GF158" s="226"/>
      <c r="GG158" s="226"/>
      <c r="GH158" s="226"/>
      <c r="GI158" s="226"/>
      <c r="GJ158" s="226"/>
      <c r="GK158" s="226"/>
      <c r="GL158" s="226"/>
      <c r="GM158" s="226"/>
      <c r="GN158" s="226"/>
      <c r="GO158" s="226"/>
      <c r="GP158" s="226"/>
      <c r="GQ158" s="226"/>
      <c r="GR158" s="226"/>
      <c r="GS158" s="226"/>
      <c r="GT158" s="226"/>
      <c r="GU158" s="226"/>
      <c r="GV158" s="226"/>
      <c r="GW158" s="226"/>
      <c r="GX158" s="226"/>
      <c r="GY158" s="226"/>
      <c r="GZ158" s="226"/>
      <c r="HA158" s="226"/>
      <c r="HB158" s="226"/>
      <c r="HC158" s="226"/>
      <c r="HD158" s="226"/>
      <c r="HE158" s="226"/>
      <c r="HF158" s="226"/>
      <c r="HG158" s="226"/>
      <c r="HH158" s="226"/>
      <c r="HI158" s="226"/>
      <c r="HJ158" s="226"/>
      <c r="HK158" s="226"/>
      <c r="HL158" s="226"/>
      <c r="HM158" s="226"/>
      <c r="HN158" s="226"/>
      <c r="HO158" s="226"/>
      <c r="HP158" s="226"/>
      <c r="HQ158" s="226"/>
      <c r="HR158" s="226"/>
      <c r="HS158" s="226"/>
      <c r="HT158" s="226"/>
      <c r="HU158" s="226"/>
      <c r="HV158" s="226"/>
      <c r="HW158" s="226"/>
      <c r="HX158" s="226"/>
      <c r="HY158" s="226"/>
      <c r="HZ158" s="226"/>
      <c r="IA158" s="226"/>
      <c r="IB158" s="226"/>
      <c r="IC158" s="226"/>
      <c r="ID158" s="226"/>
      <c r="IE158" s="226"/>
      <c r="IF158" s="226"/>
      <c r="IG158" s="226"/>
      <c r="IH158" s="226"/>
      <c r="II158" s="226"/>
      <c r="IJ158" s="226"/>
      <c r="IK158" s="226"/>
      <c r="IL158" s="226"/>
      <c r="IM158" s="226"/>
      <c r="IN158" s="226"/>
      <c r="IO158" s="226"/>
      <c r="IP158" s="226"/>
      <c r="IQ158" s="226"/>
      <c r="IR158" s="226"/>
      <c r="IS158" s="226"/>
      <c r="IT158" s="226"/>
      <c r="IU158" s="226"/>
      <c r="IV158" s="226"/>
    </row>
    <row r="159" spans="1:256" s="346" customFormat="1" ht="16.5" customHeight="1" x14ac:dyDescent="0.2">
      <c r="A159" s="272" t="s">
        <v>485</v>
      </c>
      <c r="B159" s="90" t="str">
        <f>'Financial Ratios'!B25</f>
        <v>NA</v>
      </c>
      <c r="C159" s="84">
        <f>'Financial Ratios'!C25</f>
        <v>57.7</v>
      </c>
      <c r="D159" s="84">
        <f>'Financial Ratios'!D25</f>
        <v>60.1</v>
      </c>
      <c r="E159" s="84">
        <f>'Financial Ratios'!E25</f>
        <v>66.8</v>
      </c>
      <c r="F159" s="84">
        <f>'Financial Ratios'!F25</f>
        <v>69.2</v>
      </c>
      <c r="G159" s="84">
        <f>'Financial Ratios'!G25</f>
        <v>71.2</v>
      </c>
      <c r="H159" s="1348"/>
      <c r="I159" s="718"/>
      <c r="J159" s="718"/>
      <c r="K159" s="718"/>
      <c r="L159" s="718"/>
      <c r="M159" s="718"/>
      <c r="N159" s="718"/>
      <c r="O159" s="718"/>
      <c r="P159" s="718"/>
      <c r="Q159" s="718"/>
      <c r="R159" s="718"/>
      <c r="S159" s="718"/>
      <c r="T159" s="718"/>
      <c r="U159" s="718"/>
      <c r="V159" s="718"/>
      <c r="W159" s="718"/>
      <c r="X159" s="718"/>
      <c r="Y159" s="718"/>
      <c r="Z159" s="718"/>
      <c r="AA159" s="96"/>
      <c r="AB159" s="96"/>
      <c r="AC159" s="96"/>
      <c r="AD159" s="96"/>
      <c r="AE159" s="96"/>
      <c r="AF159" s="96"/>
      <c r="AG159" s="96"/>
      <c r="AH159" s="96"/>
      <c r="AI159" s="96"/>
      <c r="AJ159" s="96"/>
      <c r="AK159" s="96"/>
      <c r="AL159" s="96"/>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c r="BN159" s="96"/>
      <c r="BO159" s="96"/>
      <c r="BP159" s="96"/>
      <c r="BQ159" s="96"/>
      <c r="BR159" s="96"/>
      <c r="BS159" s="96"/>
      <c r="BT159" s="96"/>
      <c r="BU159" s="96"/>
      <c r="BV159" s="96"/>
      <c r="BW159" s="96"/>
      <c r="BX159" s="96"/>
      <c r="BY159" s="96"/>
      <c r="BZ159" s="96"/>
      <c r="CA159" s="96"/>
      <c r="CB159" s="96"/>
      <c r="CC159" s="96"/>
      <c r="CD159" s="96"/>
      <c r="CE159" s="96"/>
      <c r="CF159" s="96"/>
      <c r="CG159" s="96"/>
      <c r="CH159" s="96"/>
      <c r="CI159" s="96"/>
      <c r="CJ159" s="96"/>
      <c r="CK159" s="96"/>
      <c r="CL159" s="96"/>
      <c r="CM159" s="96"/>
      <c r="CN159" s="96"/>
      <c r="CO159" s="96"/>
      <c r="CP159" s="96"/>
      <c r="CQ159" s="96"/>
      <c r="CR159" s="96"/>
      <c r="CS159" s="96"/>
      <c r="CT159" s="96"/>
      <c r="CU159" s="96"/>
      <c r="CV159" s="96"/>
      <c r="CW159" s="96"/>
      <c r="CX159" s="96"/>
      <c r="CY159" s="96"/>
      <c r="CZ159" s="96"/>
      <c r="DA159" s="96"/>
      <c r="DB159" s="96"/>
      <c r="DC159" s="96"/>
      <c r="DD159" s="96"/>
      <c r="DE159" s="96"/>
      <c r="DF159" s="96"/>
      <c r="DG159" s="96"/>
      <c r="DH159" s="96"/>
      <c r="DI159" s="96"/>
      <c r="DJ159" s="96"/>
      <c r="DK159" s="96"/>
      <c r="DL159" s="96"/>
      <c r="DM159" s="96"/>
      <c r="DN159" s="96"/>
      <c r="DO159" s="96"/>
      <c r="DP159" s="96"/>
      <c r="DQ159" s="96"/>
      <c r="DR159" s="96"/>
      <c r="DS159" s="96"/>
      <c r="DT159" s="96"/>
      <c r="DU159" s="96"/>
      <c r="DV159" s="96"/>
      <c r="DW159" s="96"/>
      <c r="DX159" s="96"/>
      <c r="DY159" s="96"/>
      <c r="DZ159" s="96"/>
      <c r="EA159" s="96"/>
      <c r="EB159" s="96"/>
      <c r="EC159" s="96"/>
      <c r="ED159" s="96"/>
      <c r="EE159" s="96"/>
      <c r="EF159" s="96"/>
      <c r="EG159" s="96"/>
      <c r="EH159" s="96"/>
      <c r="EI159" s="96"/>
      <c r="EJ159" s="96"/>
      <c r="EK159" s="96"/>
      <c r="EL159" s="96"/>
      <c r="EM159" s="96"/>
      <c r="EN159" s="96"/>
      <c r="EO159" s="96"/>
      <c r="EP159" s="96"/>
      <c r="EQ159" s="96"/>
      <c r="ER159" s="96"/>
      <c r="ES159" s="96"/>
      <c r="ET159" s="96"/>
      <c r="EU159" s="96"/>
      <c r="EV159" s="96"/>
      <c r="EW159" s="96"/>
      <c r="EX159" s="96"/>
      <c r="EY159" s="96"/>
      <c r="EZ159" s="96"/>
      <c r="FA159" s="96"/>
      <c r="FB159" s="96"/>
      <c r="FC159" s="96"/>
      <c r="FD159" s="96"/>
      <c r="FE159" s="96"/>
      <c r="FF159" s="96"/>
      <c r="FG159" s="96"/>
      <c r="FH159" s="96"/>
      <c r="FI159" s="96"/>
      <c r="FJ159" s="96"/>
      <c r="FK159" s="96"/>
      <c r="FL159" s="96"/>
      <c r="FM159" s="96"/>
      <c r="FN159" s="96"/>
      <c r="FO159" s="96"/>
      <c r="FP159" s="96"/>
      <c r="FQ159" s="96"/>
      <c r="FR159" s="96"/>
      <c r="FS159" s="96"/>
      <c r="FT159" s="96"/>
      <c r="FU159" s="96"/>
      <c r="FV159" s="96"/>
      <c r="FW159" s="96"/>
      <c r="FX159" s="96"/>
      <c r="FY159" s="96"/>
      <c r="FZ159" s="96"/>
      <c r="GA159" s="96"/>
      <c r="GB159" s="96"/>
      <c r="GC159" s="96"/>
      <c r="GD159" s="96"/>
      <c r="GE159" s="96"/>
      <c r="GF159" s="96"/>
      <c r="GG159" s="96"/>
      <c r="GH159" s="96"/>
      <c r="GI159" s="96"/>
      <c r="GJ159" s="96"/>
      <c r="GK159" s="96"/>
      <c r="GL159" s="96"/>
      <c r="GM159" s="96"/>
      <c r="GN159" s="96"/>
      <c r="GO159" s="96"/>
      <c r="GP159" s="96"/>
      <c r="GQ159" s="96"/>
      <c r="GR159" s="96"/>
      <c r="GS159" s="96"/>
      <c r="GT159" s="96"/>
      <c r="GU159" s="96"/>
      <c r="GV159" s="96"/>
      <c r="GW159" s="96"/>
      <c r="GX159" s="96"/>
      <c r="GY159" s="96"/>
      <c r="GZ159" s="96"/>
      <c r="HA159" s="96"/>
      <c r="HB159" s="96"/>
      <c r="HC159" s="96"/>
      <c r="HD159" s="96"/>
      <c r="HE159" s="96"/>
      <c r="HF159" s="96"/>
      <c r="HG159" s="96"/>
      <c r="HH159" s="96"/>
      <c r="HI159" s="96"/>
      <c r="HJ159" s="96"/>
      <c r="HK159" s="96"/>
      <c r="HL159" s="96"/>
      <c r="HM159" s="96"/>
      <c r="HN159" s="96"/>
      <c r="HO159" s="96"/>
      <c r="HP159" s="96"/>
      <c r="HQ159" s="96"/>
      <c r="HR159" s="96"/>
      <c r="HS159" s="96"/>
      <c r="HT159" s="96"/>
      <c r="HU159" s="96"/>
      <c r="HV159" s="96"/>
      <c r="HW159" s="96"/>
      <c r="HX159" s="96"/>
      <c r="HY159" s="96"/>
      <c r="HZ159" s="96"/>
      <c r="IA159" s="96"/>
      <c r="IB159" s="96"/>
      <c r="IC159" s="96"/>
      <c r="ID159" s="96"/>
      <c r="IE159" s="96"/>
      <c r="IF159" s="96"/>
      <c r="IG159" s="96"/>
      <c r="IH159" s="96"/>
      <c r="II159" s="96"/>
      <c r="IJ159" s="96"/>
      <c r="IK159" s="96"/>
      <c r="IL159" s="96"/>
      <c r="IM159" s="96"/>
      <c r="IN159" s="96"/>
      <c r="IO159" s="96"/>
      <c r="IP159" s="96"/>
      <c r="IQ159" s="96"/>
      <c r="IR159" s="96"/>
      <c r="IS159" s="96"/>
      <c r="IT159" s="96"/>
      <c r="IU159" s="96"/>
      <c r="IV159" s="96"/>
    </row>
    <row r="160" spans="1:256" s="346" customFormat="1" ht="16.5" customHeight="1" x14ac:dyDescent="0.2">
      <c r="A160" s="84" t="s">
        <v>797</v>
      </c>
      <c r="B160" s="542" t="str">
        <f>'Financial Ratios'!B30</f>
        <v>NA</v>
      </c>
      <c r="C160" s="502">
        <f>'Financial Ratios'!C30</f>
        <v>74.7</v>
      </c>
      <c r="D160" s="502">
        <f>'Financial Ratios'!D30</f>
        <v>94.5</v>
      </c>
      <c r="E160" s="502">
        <f>'Financial Ratios'!E30</f>
        <v>100.8</v>
      </c>
      <c r="F160" s="502">
        <f>'Financial Ratios'!F30</f>
        <v>103.6</v>
      </c>
      <c r="G160" s="502">
        <f>'Financial Ratios'!G30</f>
        <v>99.4</v>
      </c>
      <c r="H160" s="1348"/>
      <c r="I160" s="718"/>
      <c r="J160" s="718"/>
      <c r="K160" s="718"/>
      <c r="L160" s="718"/>
      <c r="M160" s="718"/>
      <c r="N160" s="718"/>
      <c r="O160" s="718"/>
      <c r="P160" s="718"/>
      <c r="Q160" s="718"/>
      <c r="R160" s="718"/>
      <c r="S160" s="718"/>
      <c r="T160" s="718"/>
      <c r="U160" s="718"/>
      <c r="V160" s="718"/>
      <c r="W160" s="718"/>
      <c r="X160" s="718"/>
      <c r="Y160" s="718"/>
      <c r="Z160" s="718"/>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96"/>
      <c r="BO160" s="96"/>
      <c r="BP160" s="96"/>
      <c r="BQ160" s="96"/>
      <c r="BR160" s="96"/>
      <c r="BS160" s="96"/>
      <c r="BT160" s="96"/>
      <c r="BU160" s="96"/>
      <c r="BV160" s="96"/>
      <c r="BW160" s="96"/>
      <c r="BX160" s="96"/>
      <c r="BY160" s="96"/>
      <c r="BZ160" s="96"/>
      <c r="CA160" s="96"/>
      <c r="CB160" s="96"/>
      <c r="CC160" s="96"/>
      <c r="CD160" s="96"/>
      <c r="CE160" s="96"/>
      <c r="CF160" s="96"/>
      <c r="CG160" s="96"/>
      <c r="CH160" s="96"/>
      <c r="CI160" s="96"/>
      <c r="CJ160" s="96"/>
      <c r="CK160" s="96"/>
      <c r="CL160" s="96"/>
      <c r="CM160" s="96"/>
      <c r="CN160" s="96"/>
      <c r="CO160" s="96"/>
      <c r="CP160" s="96"/>
      <c r="CQ160" s="96"/>
      <c r="CR160" s="96"/>
      <c r="CS160" s="96"/>
      <c r="CT160" s="96"/>
      <c r="CU160" s="96"/>
      <c r="CV160" s="96"/>
      <c r="CW160" s="96"/>
      <c r="CX160" s="96"/>
      <c r="CY160" s="96"/>
      <c r="CZ160" s="96"/>
      <c r="DA160" s="96"/>
      <c r="DB160" s="96"/>
      <c r="DC160" s="96"/>
      <c r="DD160" s="96"/>
      <c r="DE160" s="96"/>
      <c r="DF160" s="96"/>
      <c r="DG160" s="96"/>
      <c r="DH160" s="96"/>
      <c r="DI160" s="96"/>
      <c r="DJ160" s="96"/>
      <c r="DK160" s="96"/>
      <c r="DL160" s="96"/>
      <c r="DM160" s="96"/>
      <c r="DN160" s="96"/>
      <c r="DO160" s="96"/>
      <c r="DP160" s="96"/>
      <c r="DQ160" s="96"/>
      <c r="DR160" s="96"/>
      <c r="DS160" s="96"/>
      <c r="DT160" s="96"/>
      <c r="DU160" s="96"/>
      <c r="DV160" s="96"/>
      <c r="DW160" s="96"/>
      <c r="DX160" s="96"/>
      <c r="DY160" s="96"/>
      <c r="DZ160" s="96"/>
      <c r="EA160" s="96"/>
      <c r="EB160" s="96"/>
      <c r="EC160" s="96"/>
      <c r="ED160" s="96"/>
      <c r="EE160" s="96"/>
      <c r="EF160" s="96"/>
      <c r="EG160" s="96"/>
      <c r="EH160" s="96"/>
      <c r="EI160" s="96"/>
      <c r="EJ160" s="96"/>
      <c r="EK160" s="96"/>
      <c r="EL160" s="96"/>
      <c r="EM160" s="96"/>
      <c r="EN160" s="96"/>
      <c r="EO160" s="96"/>
      <c r="EP160" s="96"/>
      <c r="EQ160" s="96"/>
      <c r="ER160" s="96"/>
      <c r="ES160" s="96"/>
      <c r="ET160" s="96"/>
      <c r="EU160" s="96"/>
      <c r="EV160" s="96"/>
      <c r="EW160" s="96"/>
      <c r="EX160" s="96"/>
      <c r="EY160" s="96"/>
      <c r="EZ160" s="96"/>
      <c r="FA160" s="96"/>
      <c r="FB160" s="96"/>
      <c r="FC160" s="96"/>
      <c r="FD160" s="96"/>
      <c r="FE160" s="96"/>
      <c r="FF160" s="96"/>
      <c r="FG160" s="96"/>
      <c r="FH160" s="96"/>
      <c r="FI160" s="96"/>
      <c r="FJ160" s="96"/>
      <c r="FK160" s="96"/>
      <c r="FL160" s="96"/>
      <c r="FM160" s="96"/>
      <c r="FN160" s="96"/>
      <c r="FO160" s="96"/>
      <c r="FP160" s="96"/>
      <c r="FQ160" s="96"/>
      <c r="FR160" s="96"/>
      <c r="FS160" s="96"/>
      <c r="FT160" s="96"/>
      <c r="FU160" s="96"/>
      <c r="FV160" s="96"/>
      <c r="FW160" s="96"/>
      <c r="FX160" s="96"/>
      <c r="FY160" s="96"/>
      <c r="FZ160" s="96"/>
      <c r="GA160" s="96"/>
      <c r="GB160" s="96"/>
      <c r="GC160" s="96"/>
      <c r="GD160" s="96"/>
      <c r="GE160" s="96"/>
      <c r="GF160" s="96"/>
      <c r="GG160" s="96"/>
      <c r="GH160" s="96"/>
      <c r="GI160" s="96"/>
      <c r="GJ160" s="96"/>
      <c r="GK160" s="96"/>
      <c r="GL160" s="96"/>
      <c r="GM160" s="96"/>
      <c r="GN160" s="96"/>
      <c r="GO160" s="96"/>
      <c r="GP160" s="96"/>
      <c r="GQ160" s="96"/>
      <c r="GR160" s="96"/>
      <c r="GS160" s="96"/>
      <c r="GT160" s="96"/>
      <c r="GU160" s="96"/>
      <c r="GV160" s="96"/>
      <c r="GW160" s="96"/>
      <c r="GX160" s="96"/>
      <c r="GY160" s="96"/>
      <c r="GZ160" s="96"/>
      <c r="HA160" s="96"/>
      <c r="HB160" s="96"/>
      <c r="HC160" s="96"/>
      <c r="HD160" s="96"/>
      <c r="HE160" s="96"/>
      <c r="HF160" s="96"/>
      <c r="HG160" s="96"/>
      <c r="HH160" s="96"/>
      <c r="HI160" s="96"/>
      <c r="HJ160" s="96"/>
      <c r="HK160" s="96"/>
      <c r="HL160" s="96"/>
      <c r="HM160" s="96"/>
      <c r="HN160" s="96"/>
      <c r="HO160" s="96"/>
      <c r="HP160" s="96"/>
      <c r="HQ160" s="96"/>
      <c r="HR160" s="96"/>
      <c r="HS160" s="96"/>
      <c r="HT160" s="96"/>
      <c r="HU160" s="96"/>
      <c r="HV160" s="96"/>
      <c r="HW160" s="96"/>
      <c r="HX160" s="96"/>
      <c r="HY160" s="96"/>
      <c r="HZ160" s="96"/>
      <c r="IA160" s="96"/>
      <c r="IB160" s="96"/>
      <c r="IC160" s="96"/>
      <c r="ID160" s="96"/>
      <c r="IE160" s="96"/>
      <c r="IF160" s="96"/>
      <c r="IG160" s="96"/>
      <c r="IH160" s="96"/>
      <c r="II160" s="96"/>
      <c r="IJ160" s="96"/>
      <c r="IK160" s="96"/>
      <c r="IL160" s="96"/>
      <c r="IM160" s="96"/>
      <c r="IN160" s="96"/>
      <c r="IO160" s="96"/>
      <c r="IP160" s="96"/>
      <c r="IQ160" s="96"/>
      <c r="IR160" s="96"/>
      <c r="IS160" s="96"/>
      <c r="IT160" s="96"/>
      <c r="IU160" s="96"/>
      <c r="IV160" s="96"/>
    </row>
    <row r="161" spans="1:256" s="336" customFormat="1" ht="16.5" customHeight="1" x14ac:dyDescent="0.2">
      <c r="A161" s="544" t="str">
        <f>'Financial Ratios'!A41</f>
        <v xml:space="preserve"> Net operating cycle (days) </v>
      </c>
      <c r="B161" s="542" t="str">
        <f>'Financial Ratios'!B41</f>
        <v>NA</v>
      </c>
      <c r="C161" s="502">
        <f>'Financial Ratios'!C41</f>
        <v>50.2</v>
      </c>
      <c r="D161" s="502">
        <f>'Financial Ratios'!D41</f>
        <v>27.300000000000011</v>
      </c>
      <c r="E161" s="502">
        <f>'Financial Ratios'!E41</f>
        <v>27.799999999999997</v>
      </c>
      <c r="F161" s="502">
        <f>'Financial Ratios'!F41</f>
        <v>25.400000000000006</v>
      </c>
      <c r="G161" s="502">
        <f>'Financial Ratios'!G41</f>
        <v>3.0999999999999943</v>
      </c>
      <c r="H161" s="1349"/>
      <c r="I161" s="682"/>
      <c r="J161" s="1040"/>
      <c r="K161" s="1040"/>
      <c r="L161" s="1040"/>
      <c r="M161" s="1040"/>
      <c r="N161" s="1040"/>
      <c r="O161" s="1040"/>
      <c r="P161" s="1040"/>
      <c r="Q161" s="1040"/>
      <c r="R161" s="1040"/>
      <c r="S161" s="1040"/>
      <c r="T161" s="1040"/>
      <c r="U161" s="1040"/>
      <c r="V161" s="1040"/>
      <c r="W161" s="1040"/>
      <c r="X161" s="1040"/>
      <c r="Y161" s="1040"/>
      <c r="Z161" s="1040"/>
      <c r="AA161" s="543"/>
      <c r="AB161" s="543"/>
      <c r="AC161" s="543"/>
      <c r="AD161" s="543"/>
      <c r="AE161" s="543"/>
      <c r="AF161" s="543"/>
      <c r="AG161" s="543"/>
      <c r="AH161" s="543"/>
      <c r="AI161" s="543"/>
      <c r="AJ161" s="543"/>
      <c r="AK161" s="543"/>
      <c r="AL161" s="543"/>
      <c r="AM161" s="543"/>
      <c r="AN161" s="543"/>
      <c r="AO161" s="543"/>
      <c r="AP161" s="543"/>
      <c r="AQ161" s="543"/>
      <c r="AR161" s="543"/>
      <c r="AS161" s="543"/>
      <c r="AT161" s="543"/>
      <c r="AU161" s="543"/>
      <c r="AV161" s="543"/>
      <c r="AW161" s="543"/>
      <c r="AX161" s="543"/>
      <c r="AY161" s="543"/>
      <c r="AZ161" s="543"/>
      <c r="BA161" s="543"/>
      <c r="BB161" s="543"/>
      <c r="BC161" s="543"/>
      <c r="BD161" s="543"/>
      <c r="BE161" s="543"/>
      <c r="BF161" s="543"/>
      <c r="BG161" s="543"/>
      <c r="BH161" s="543"/>
      <c r="BI161" s="543"/>
      <c r="BJ161" s="543"/>
      <c r="BK161" s="543"/>
      <c r="BL161" s="543"/>
      <c r="BM161" s="543"/>
      <c r="BN161" s="543"/>
      <c r="BO161" s="543"/>
      <c r="BP161" s="543"/>
      <c r="BQ161" s="543"/>
      <c r="BR161" s="543"/>
      <c r="BS161" s="543"/>
      <c r="BT161" s="543"/>
      <c r="BU161" s="543"/>
      <c r="BV161" s="543"/>
      <c r="BW161" s="543"/>
      <c r="BX161" s="543"/>
      <c r="BY161" s="543"/>
      <c r="BZ161" s="543"/>
      <c r="CA161" s="543"/>
      <c r="CB161" s="543"/>
      <c r="CC161" s="543"/>
      <c r="CD161" s="543"/>
      <c r="CE161" s="543"/>
      <c r="CF161" s="543"/>
      <c r="CG161" s="543"/>
      <c r="CH161" s="543"/>
      <c r="CI161" s="543"/>
      <c r="CJ161" s="543"/>
      <c r="CK161" s="543"/>
      <c r="CL161" s="543"/>
      <c r="CM161" s="543"/>
      <c r="CN161" s="543"/>
      <c r="CO161" s="543"/>
      <c r="CP161" s="543"/>
      <c r="CQ161" s="543"/>
      <c r="CR161" s="543"/>
      <c r="CS161" s="543"/>
      <c r="CT161" s="543"/>
      <c r="CU161" s="543"/>
      <c r="CV161" s="543"/>
      <c r="CW161" s="543"/>
      <c r="CX161" s="543"/>
      <c r="CY161" s="543"/>
      <c r="CZ161" s="543"/>
      <c r="DA161" s="543"/>
      <c r="DB161" s="543"/>
      <c r="DC161" s="543"/>
      <c r="DD161" s="543"/>
      <c r="DE161" s="543"/>
      <c r="DF161" s="543"/>
      <c r="DG161" s="543"/>
      <c r="DH161" s="543"/>
      <c r="DI161" s="543"/>
      <c r="DJ161" s="543"/>
      <c r="DK161" s="543"/>
      <c r="DL161" s="543"/>
      <c r="DM161" s="543"/>
      <c r="DN161" s="543"/>
      <c r="DO161" s="543"/>
      <c r="DP161" s="543"/>
      <c r="DQ161" s="543"/>
      <c r="DR161" s="543"/>
      <c r="DS161" s="543"/>
      <c r="DT161" s="543"/>
      <c r="DU161" s="543"/>
      <c r="DV161" s="543"/>
      <c r="DW161" s="543"/>
      <c r="DX161" s="543"/>
      <c r="DY161" s="543"/>
      <c r="DZ161" s="543"/>
      <c r="EA161" s="543"/>
      <c r="EB161" s="543"/>
      <c r="EC161" s="543"/>
      <c r="ED161" s="543"/>
      <c r="EE161" s="543"/>
      <c r="EF161" s="543"/>
      <c r="EG161" s="543"/>
      <c r="EH161" s="543"/>
      <c r="EI161" s="543"/>
      <c r="EJ161" s="543"/>
      <c r="EK161" s="543"/>
      <c r="EL161" s="543"/>
      <c r="EM161" s="543"/>
      <c r="EN161" s="543"/>
      <c r="EO161" s="543"/>
      <c r="EP161" s="543"/>
      <c r="EQ161" s="543"/>
      <c r="ER161" s="543"/>
      <c r="ES161" s="543"/>
      <c r="ET161" s="543"/>
      <c r="EU161" s="543"/>
      <c r="EV161" s="543"/>
      <c r="EW161" s="543"/>
      <c r="EX161" s="543"/>
      <c r="EY161" s="543"/>
      <c r="EZ161" s="543"/>
      <c r="FA161" s="543"/>
      <c r="FB161" s="543"/>
      <c r="FC161" s="543"/>
      <c r="FD161" s="543"/>
      <c r="FE161" s="543"/>
      <c r="FF161" s="543"/>
      <c r="FG161" s="543"/>
      <c r="FH161" s="543"/>
      <c r="FI161" s="543"/>
      <c r="FJ161" s="543"/>
      <c r="FK161" s="543"/>
      <c r="FL161" s="543"/>
      <c r="FM161" s="543"/>
      <c r="FN161" s="543"/>
      <c r="FO161" s="543"/>
      <c r="FP161" s="543"/>
      <c r="FQ161" s="543"/>
      <c r="FR161" s="543"/>
      <c r="FS161" s="543"/>
      <c r="FT161" s="543"/>
      <c r="FU161" s="543"/>
      <c r="FV161" s="543"/>
      <c r="FW161" s="543"/>
      <c r="FX161" s="543"/>
      <c r="FY161" s="543"/>
      <c r="FZ161" s="543"/>
      <c r="GA161" s="543"/>
      <c r="GB161" s="543"/>
      <c r="GC161" s="543"/>
      <c r="GD161" s="543"/>
      <c r="GE161" s="543"/>
      <c r="GF161" s="543"/>
      <c r="GG161" s="543"/>
      <c r="GH161" s="543"/>
      <c r="GI161" s="543"/>
      <c r="GJ161" s="543"/>
      <c r="GK161" s="543"/>
      <c r="GL161" s="543"/>
      <c r="GM161" s="543"/>
      <c r="GN161" s="543"/>
      <c r="GO161" s="543"/>
      <c r="GP161" s="543"/>
      <c r="GQ161" s="543"/>
      <c r="GR161" s="543"/>
      <c r="GS161" s="543"/>
      <c r="GT161" s="543"/>
      <c r="GU161" s="543"/>
      <c r="GV161" s="543"/>
      <c r="GW161" s="543"/>
      <c r="GX161" s="543"/>
      <c r="GY161" s="543"/>
      <c r="GZ161" s="543"/>
      <c r="HA161" s="543"/>
      <c r="HB161" s="543"/>
      <c r="HC161" s="543"/>
      <c r="HD161" s="543"/>
      <c r="HE161" s="543"/>
      <c r="HF161" s="543"/>
      <c r="HG161" s="543"/>
      <c r="HH161" s="543"/>
      <c r="HI161" s="543"/>
      <c r="HJ161" s="543"/>
      <c r="HK161" s="543"/>
      <c r="HL161" s="543"/>
      <c r="HM161" s="543"/>
      <c r="HN161" s="543"/>
      <c r="HO161" s="543"/>
      <c r="HP161" s="543"/>
      <c r="HQ161" s="543"/>
      <c r="HR161" s="543"/>
      <c r="HS161" s="543"/>
      <c r="HT161" s="543"/>
      <c r="HU161" s="543"/>
      <c r="HV161" s="543"/>
      <c r="HW161" s="543"/>
      <c r="HX161" s="543"/>
      <c r="HY161" s="543"/>
      <c r="HZ161" s="543"/>
      <c r="IA161" s="543"/>
      <c r="IB161" s="543"/>
      <c r="IC161" s="543"/>
      <c r="ID161" s="543"/>
      <c r="IE161" s="543"/>
      <c r="IF161" s="543"/>
      <c r="IG161" s="543"/>
      <c r="IH161" s="543"/>
      <c r="II161" s="543"/>
      <c r="IJ161" s="543"/>
      <c r="IK161" s="543"/>
      <c r="IL161" s="543"/>
      <c r="IM161" s="543"/>
      <c r="IN161" s="543"/>
      <c r="IO161" s="543"/>
      <c r="IP161" s="543"/>
      <c r="IQ161" s="543"/>
      <c r="IR161" s="543"/>
      <c r="IS161" s="543"/>
      <c r="IT161" s="543"/>
      <c r="IU161" s="543"/>
      <c r="IV161" s="543"/>
    </row>
    <row r="162" spans="1:256" s="251" customFormat="1" ht="16.5" customHeight="1" x14ac:dyDescent="0.2">
      <c r="A162" s="279" t="str">
        <f>'Financial Ratios'!A105</f>
        <v>AR turnover ratio</v>
      </c>
      <c r="B162" s="510" t="str">
        <f>'Financial Ratios'!B105</f>
        <v>NA</v>
      </c>
      <c r="C162" s="279">
        <f>'Financial Ratios'!C105</f>
        <v>5.4</v>
      </c>
      <c r="D162" s="279">
        <f>'Financial Ratios'!D105</f>
        <v>5.8</v>
      </c>
      <c r="E162" s="279">
        <f>'Financial Ratios'!E105</f>
        <v>5.8</v>
      </c>
      <c r="F162" s="279">
        <f>'Financial Ratios'!F105</f>
        <v>6</v>
      </c>
      <c r="G162" s="279">
        <f>'Financial Ratios'!G105</f>
        <v>11.5</v>
      </c>
      <c r="H162" s="1313" t="s">
        <v>1101</v>
      </c>
      <c r="I162" s="726"/>
      <c r="J162" s="726"/>
      <c r="K162" s="726"/>
      <c r="L162" s="726"/>
      <c r="M162" s="726"/>
      <c r="N162" s="726"/>
      <c r="O162" s="726"/>
      <c r="P162" s="726"/>
      <c r="Q162" s="726"/>
      <c r="R162" s="726"/>
      <c r="S162" s="726"/>
      <c r="T162" s="726"/>
      <c r="U162" s="726"/>
      <c r="V162" s="726"/>
      <c r="W162" s="726"/>
      <c r="X162" s="726"/>
      <c r="Y162" s="726"/>
      <c r="Z162" s="726"/>
      <c r="AA162" s="226"/>
      <c r="AB162" s="226"/>
      <c r="AC162" s="226"/>
      <c r="AD162" s="226"/>
      <c r="AE162" s="226"/>
      <c r="AF162" s="226"/>
      <c r="AG162" s="226"/>
      <c r="AH162" s="226"/>
      <c r="AI162" s="226"/>
      <c r="AJ162" s="226"/>
      <c r="AK162" s="226"/>
      <c r="AL162" s="226"/>
      <c r="AM162" s="226"/>
      <c r="AN162" s="226"/>
      <c r="AO162" s="226"/>
      <c r="AP162" s="226"/>
      <c r="AQ162" s="226"/>
      <c r="AR162" s="226"/>
      <c r="AS162" s="226"/>
      <c r="AT162" s="226"/>
      <c r="AU162" s="226"/>
      <c r="AV162" s="226"/>
      <c r="AW162" s="226"/>
      <c r="AX162" s="226"/>
      <c r="AY162" s="226"/>
      <c r="AZ162" s="226"/>
      <c r="BA162" s="226"/>
      <c r="BB162" s="226"/>
      <c r="BC162" s="226"/>
      <c r="BD162" s="226"/>
      <c r="BE162" s="226"/>
      <c r="BF162" s="226"/>
      <c r="BG162" s="226"/>
      <c r="BH162" s="226"/>
      <c r="BI162" s="226"/>
      <c r="BJ162" s="226"/>
      <c r="BK162" s="226"/>
      <c r="BL162" s="226"/>
      <c r="BM162" s="226"/>
      <c r="BN162" s="226"/>
      <c r="BO162" s="226"/>
      <c r="BP162" s="226"/>
      <c r="BQ162" s="226"/>
      <c r="BR162" s="226"/>
      <c r="BS162" s="226"/>
      <c r="BT162" s="226"/>
      <c r="BU162" s="226"/>
      <c r="BV162" s="226"/>
      <c r="BW162" s="226"/>
      <c r="BX162" s="226"/>
      <c r="BY162" s="226"/>
      <c r="BZ162" s="226"/>
      <c r="CA162" s="226"/>
      <c r="CB162" s="226"/>
      <c r="CC162" s="226"/>
      <c r="CD162" s="226"/>
      <c r="CE162" s="226"/>
      <c r="CF162" s="226"/>
      <c r="CG162" s="226"/>
      <c r="CH162" s="226"/>
      <c r="CI162" s="226"/>
      <c r="CJ162" s="226"/>
      <c r="CK162" s="226"/>
      <c r="CL162" s="226"/>
      <c r="CM162" s="226"/>
      <c r="CN162" s="226"/>
      <c r="CO162" s="226"/>
      <c r="CP162" s="226"/>
      <c r="CQ162" s="226"/>
      <c r="CR162" s="226"/>
      <c r="CS162" s="226"/>
      <c r="CT162" s="226"/>
      <c r="CU162" s="226"/>
      <c r="CV162" s="226"/>
      <c r="CW162" s="226"/>
      <c r="CX162" s="226"/>
      <c r="CY162" s="226"/>
      <c r="CZ162" s="226"/>
      <c r="DA162" s="226"/>
      <c r="DB162" s="226"/>
      <c r="DC162" s="226"/>
      <c r="DD162" s="226"/>
      <c r="DE162" s="226"/>
      <c r="DF162" s="226"/>
      <c r="DG162" s="226"/>
      <c r="DH162" s="226"/>
      <c r="DI162" s="226"/>
      <c r="DJ162" s="226"/>
      <c r="DK162" s="226"/>
      <c r="DL162" s="226"/>
      <c r="DM162" s="226"/>
      <c r="DN162" s="226"/>
      <c r="DO162" s="226"/>
      <c r="DP162" s="226"/>
      <c r="DQ162" s="226"/>
      <c r="DR162" s="226"/>
      <c r="DS162" s="226"/>
      <c r="DT162" s="226"/>
      <c r="DU162" s="226"/>
      <c r="DV162" s="226"/>
      <c r="DW162" s="226"/>
      <c r="DX162" s="226"/>
      <c r="DY162" s="226"/>
      <c r="DZ162" s="226"/>
      <c r="EA162" s="226"/>
      <c r="EB162" s="226"/>
      <c r="EC162" s="226"/>
      <c r="ED162" s="226"/>
      <c r="EE162" s="226"/>
      <c r="EF162" s="226"/>
      <c r="EG162" s="226"/>
      <c r="EH162" s="226"/>
      <c r="EI162" s="226"/>
      <c r="EJ162" s="226"/>
      <c r="EK162" s="226"/>
      <c r="EL162" s="226"/>
      <c r="EM162" s="226"/>
      <c r="EN162" s="226"/>
      <c r="EO162" s="226"/>
      <c r="EP162" s="226"/>
      <c r="EQ162" s="226"/>
      <c r="ER162" s="226"/>
      <c r="ES162" s="226"/>
      <c r="ET162" s="226"/>
      <c r="EU162" s="226"/>
      <c r="EV162" s="226"/>
      <c r="EW162" s="226"/>
      <c r="EX162" s="226"/>
      <c r="EY162" s="226"/>
      <c r="EZ162" s="226"/>
      <c r="FA162" s="226"/>
      <c r="FB162" s="226"/>
      <c r="FC162" s="226"/>
      <c r="FD162" s="226"/>
      <c r="FE162" s="226"/>
      <c r="FF162" s="226"/>
      <c r="FG162" s="226"/>
      <c r="FH162" s="226"/>
      <c r="FI162" s="226"/>
      <c r="FJ162" s="226"/>
      <c r="FK162" s="226"/>
      <c r="FL162" s="226"/>
      <c r="FM162" s="226"/>
      <c r="FN162" s="226"/>
      <c r="FO162" s="226"/>
      <c r="FP162" s="226"/>
      <c r="FQ162" s="226"/>
      <c r="FR162" s="226"/>
      <c r="FS162" s="226"/>
      <c r="FT162" s="226"/>
      <c r="FU162" s="226"/>
      <c r="FV162" s="226"/>
      <c r="FW162" s="226"/>
      <c r="FX162" s="226"/>
      <c r="FY162" s="226"/>
      <c r="FZ162" s="226"/>
      <c r="GA162" s="226"/>
      <c r="GB162" s="226"/>
      <c r="GC162" s="226"/>
      <c r="GD162" s="226"/>
      <c r="GE162" s="226"/>
      <c r="GF162" s="226"/>
      <c r="GG162" s="226"/>
      <c r="GH162" s="226"/>
      <c r="GI162" s="226"/>
      <c r="GJ162" s="226"/>
      <c r="GK162" s="226"/>
      <c r="GL162" s="226"/>
      <c r="GM162" s="226"/>
      <c r="GN162" s="226"/>
      <c r="GO162" s="226"/>
      <c r="GP162" s="226"/>
      <c r="GQ162" s="226"/>
      <c r="GR162" s="226"/>
      <c r="GS162" s="226"/>
      <c r="GT162" s="226"/>
      <c r="GU162" s="226"/>
      <c r="GV162" s="226"/>
      <c r="GW162" s="226"/>
      <c r="GX162" s="226"/>
      <c r="GY162" s="226"/>
      <c r="GZ162" s="226"/>
      <c r="HA162" s="226"/>
      <c r="HB162" s="226"/>
      <c r="HC162" s="226"/>
      <c r="HD162" s="226"/>
      <c r="HE162" s="226"/>
      <c r="HF162" s="226"/>
      <c r="HG162" s="226"/>
      <c r="HH162" s="226"/>
      <c r="HI162" s="226"/>
      <c r="HJ162" s="226"/>
      <c r="HK162" s="226"/>
      <c r="HL162" s="226"/>
      <c r="HM162" s="226"/>
      <c r="HN162" s="226"/>
      <c r="HO162" s="226"/>
      <c r="HP162" s="226"/>
      <c r="HQ162" s="226"/>
      <c r="HR162" s="226"/>
      <c r="HS162" s="226"/>
      <c r="HT162" s="226"/>
      <c r="HU162" s="226"/>
      <c r="HV162" s="226"/>
      <c r="HW162" s="226"/>
      <c r="HX162" s="226"/>
      <c r="HY162" s="226"/>
      <c r="HZ162" s="226"/>
      <c r="IA162" s="226"/>
      <c r="IB162" s="226"/>
      <c r="IC162" s="226"/>
      <c r="ID162" s="226"/>
      <c r="IE162" s="226"/>
      <c r="IF162" s="226"/>
      <c r="IG162" s="226"/>
      <c r="IH162" s="226"/>
      <c r="II162" s="226"/>
      <c r="IJ162" s="226"/>
      <c r="IK162" s="226"/>
      <c r="IL162" s="226"/>
      <c r="IM162" s="226"/>
      <c r="IN162" s="226"/>
      <c r="IO162" s="226"/>
      <c r="IP162" s="226"/>
      <c r="IQ162" s="226"/>
      <c r="IR162" s="226"/>
      <c r="IS162" s="226"/>
      <c r="IT162" s="226"/>
      <c r="IU162" s="226"/>
      <c r="IV162" s="226"/>
    </row>
    <row r="163" spans="1:256" s="346" customFormat="1" ht="16.5" customHeight="1" x14ac:dyDescent="0.2">
      <c r="A163" s="85" t="str">
        <f>'Financial Ratios'!A109</f>
        <v>Inventory turnover ratio</v>
      </c>
      <c r="B163" s="90" t="str">
        <f>'Financial Ratios'!B109</f>
        <v>NA</v>
      </c>
      <c r="C163" s="85">
        <f>'Financial Ratios'!C109</f>
        <v>6.2</v>
      </c>
      <c r="D163" s="85">
        <f>'Financial Ratios'!D109</f>
        <v>6</v>
      </c>
      <c r="E163" s="85">
        <f>'Financial Ratios'!E109</f>
        <v>5.4</v>
      </c>
      <c r="F163" s="85">
        <f>'Financial Ratios'!F109</f>
        <v>5.2</v>
      </c>
      <c r="G163" s="85">
        <f>'Financial Ratios'!G109</f>
        <v>5.0999999999999996</v>
      </c>
      <c r="H163" s="1348"/>
      <c r="I163" s="718"/>
      <c r="J163" s="718"/>
      <c r="K163" s="718"/>
      <c r="L163" s="718"/>
      <c r="M163" s="718"/>
      <c r="N163" s="718"/>
      <c r="O163" s="718"/>
      <c r="P163" s="718"/>
      <c r="Q163" s="718"/>
      <c r="R163" s="718"/>
      <c r="S163" s="718"/>
      <c r="T163" s="718"/>
      <c r="U163" s="718"/>
      <c r="V163" s="718"/>
      <c r="W163" s="718"/>
      <c r="X163" s="718"/>
      <c r="Y163" s="718"/>
      <c r="Z163" s="718"/>
      <c r="AA163" s="96"/>
      <c r="AB163" s="96"/>
      <c r="AC163" s="96"/>
      <c r="AD163" s="96"/>
      <c r="AE163" s="96"/>
      <c r="AF163" s="96"/>
      <c r="AG163" s="96"/>
      <c r="AH163" s="96"/>
      <c r="AI163" s="96"/>
      <c r="AJ163" s="96"/>
      <c r="AK163" s="96"/>
      <c r="AL163" s="96"/>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c r="BN163" s="96"/>
      <c r="BO163" s="96"/>
      <c r="BP163" s="96"/>
      <c r="BQ163" s="96"/>
      <c r="BR163" s="96"/>
      <c r="BS163" s="96"/>
      <c r="BT163" s="96"/>
      <c r="BU163" s="96"/>
      <c r="BV163" s="96"/>
      <c r="BW163" s="96"/>
      <c r="BX163" s="96"/>
      <c r="BY163" s="96"/>
      <c r="BZ163" s="96"/>
      <c r="CA163" s="96"/>
      <c r="CB163" s="96"/>
      <c r="CC163" s="96"/>
      <c r="CD163" s="96"/>
      <c r="CE163" s="96"/>
      <c r="CF163" s="96"/>
      <c r="CG163" s="96"/>
      <c r="CH163" s="96"/>
      <c r="CI163" s="96"/>
      <c r="CJ163" s="96"/>
      <c r="CK163" s="96"/>
      <c r="CL163" s="96"/>
      <c r="CM163" s="96"/>
      <c r="CN163" s="96"/>
      <c r="CO163" s="96"/>
      <c r="CP163" s="96"/>
      <c r="CQ163" s="96"/>
      <c r="CR163" s="96"/>
      <c r="CS163" s="96"/>
      <c r="CT163" s="96"/>
      <c r="CU163" s="96"/>
      <c r="CV163" s="96"/>
      <c r="CW163" s="96"/>
      <c r="CX163" s="96"/>
      <c r="CY163" s="96"/>
      <c r="CZ163" s="96"/>
      <c r="DA163" s="96"/>
      <c r="DB163" s="96"/>
      <c r="DC163" s="96"/>
      <c r="DD163" s="96"/>
      <c r="DE163" s="96"/>
      <c r="DF163" s="96"/>
      <c r="DG163" s="96"/>
      <c r="DH163" s="96"/>
      <c r="DI163" s="96"/>
      <c r="DJ163" s="96"/>
      <c r="DK163" s="96"/>
      <c r="DL163" s="96"/>
      <c r="DM163" s="96"/>
      <c r="DN163" s="96"/>
      <c r="DO163" s="96"/>
      <c r="DP163" s="96"/>
      <c r="DQ163" s="96"/>
      <c r="DR163" s="96"/>
      <c r="DS163" s="96"/>
      <c r="DT163" s="96"/>
      <c r="DU163" s="96"/>
      <c r="DV163" s="96"/>
      <c r="DW163" s="96"/>
      <c r="DX163" s="96"/>
      <c r="DY163" s="96"/>
      <c r="DZ163" s="96"/>
      <c r="EA163" s="96"/>
      <c r="EB163" s="96"/>
      <c r="EC163" s="96"/>
      <c r="ED163" s="96"/>
      <c r="EE163" s="96"/>
      <c r="EF163" s="96"/>
      <c r="EG163" s="96"/>
      <c r="EH163" s="96"/>
      <c r="EI163" s="96"/>
      <c r="EJ163" s="96"/>
      <c r="EK163" s="96"/>
      <c r="EL163" s="96"/>
      <c r="EM163" s="96"/>
      <c r="EN163" s="96"/>
      <c r="EO163" s="96"/>
      <c r="EP163" s="96"/>
      <c r="EQ163" s="96"/>
      <c r="ER163" s="96"/>
      <c r="ES163" s="96"/>
      <c r="ET163" s="96"/>
      <c r="EU163" s="96"/>
      <c r="EV163" s="96"/>
      <c r="EW163" s="96"/>
      <c r="EX163" s="96"/>
      <c r="EY163" s="96"/>
      <c r="EZ163" s="96"/>
      <c r="FA163" s="96"/>
      <c r="FB163" s="96"/>
      <c r="FC163" s="96"/>
      <c r="FD163" s="96"/>
      <c r="FE163" s="96"/>
      <c r="FF163" s="96"/>
      <c r="FG163" s="96"/>
      <c r="FH163" s="96"/>
      <c r="FI163" s="96"/>
      <c r="FJ163" s="96"/>
      <c r="FK163" s="96"/>
      <c r="FL163" s="96"/>
      <c r="FM163" s="96"/>
      <c r="FN163" s="96"/>
      <c r="FO163" s="96"/>
      <c r="FP163" s="96"/>
      <c r="FQ163" s="96"/>
      <c r="FR163" s="96"/>
      <c r="FS163" s="96"/>
      <c r="FT163" s="96"/>
      <c r="FU163" s="96"/>
      <c r="FV163" s="96"/>
      <c r="FW163" s="96"/>
      <c r="FX163" s="96"/>
      <c r="FY163" s="96"/>
      <c r="FZ163" s="96"/>
      <c r="GA163" s="96"/>
      <c r="GB163" s="96"/>
      <c r="GC163" s="96"/>
      <c r="GD163" s="96"/>
      <c r="GE163" s="96"/>
      <c r="GF163" s="96"/>
      <c r="GG163" s="96"/>
      <c r="GH163" s="96"/>
      <c r="GI163" s="96"/>
      <c r="GJ163" s="96"/>
      <c r="GK163" s="96"/>
      <c r="GL163" s="96"/>
      <c r="GM163" s="96"/>
      <c r="GN163" s="96"/>
      <c r="GO163" s="96"/>
      <c r="GP163" s="96"/>
      <c r="GQ163" s="96"/>
      <c r="GR163" s="96"/>
      <c r="GS163" s="96"/>
      <c r="GT163" s="96"/>
      <c r="GU163" s="96"/>
      <c r="GV163" s="96"/>
      <c r="GW163" s="96"/>
      <c r="GX163" s="96"/>
      <c r="GY163" s="96"/>
      <c r="GZ163" s="96"/>
      <c r="HA163" s="96"/>
      <c r="HB163" s="96"/>
      <c r="HC163" s="96"/>
      <c r="HD163" s="96"/>
      <c r="HE163" s="96"/>
      <c r="HF163" s="96"/>
      <c r="HG163" s="96"/>
      <c r="HH163" s="96"/>
      <c r="HI163" s="96"/>
      <c r="HJ163" s="96"/>
      <c r="HK163" s="96"/>
      <c r="HL163" s="96"/>
      <c r="HM163" s="96"/>
      <c r="HN163" s="96"/>
      <c r="HO163" s="96"/>
      <c r="HP163" s="96"/>
      <c r="HQ163" s="96"/>
      <c r="HR163" s="96"/>
      <c r="HS163" s="96"/>
      <c r="HT163" s="96"/>
      <c r="HU163" s="96"/>
      <c r="HV163" s="96"/>
      <c r="HW163" s="96"/>
      <c r="HX163" s="96"/>
      <c r="HY163" s="96"/>
      <c r="HZ163" s="96"/>
      <c r="IA163" s="96"/>
      <c r="IB163" s="96"/>
      <c r="IC163" s="96"/>
      <c r="ID163" s="96"/>
      <c r="IE163" s="96"/>
      <c r="IF163" s="96"/>
      <c r="IG163" s="96"/>
      <c r="IH163" s="96"/>
      <c r="II163" s="96"/>
      <c r="IJ163" s="96"/>
      <c r="IK163" s="96"/>
      <c r="IL163" s="96"/>
      <c r="IM163" s="96"/>
      <c r="IN163" s="96"/>
      <c r="IO163" s="96"/>
      <c r="IP163" s="96"/>
      <c r="IQ163" s="96"/>
      <c r="IR163" s="96"/>
      <c r="IS163" s="96"/>
      <c r="IT163" s="96"/>
      <c r="IU163" s="96"/>
      <c r="IV163" s="96"/>
    </row>
    <row r="164" spans="1:256" s="506" customFormat="1" ht="16.5" customHeight="1" x14ac:dyDescent="0.2">
      <c r="A164" s="505" t="str">
        <f>'Financial Ratios'!A117</f>
        <v>PP&amp;E turnover ratio</v>
      </c>
      <c r="B164" s="542" t="str">
        <f>'Financial Ratios'!B117</f>
        <v>NA</v>
      </c>
      <c r="C164" s="505">
        <f>'Financial Ratios'!C117</f>
        <v>3.9</v>
      </c>
      <c r="D164" s="505">
        <f>'Financial Ratios'!D117</f>
        <v>3.4</v>
      </c>
      <c r="E164" s="505">
        <f>'Financial Ratios'!E117</f>
        <v>3</v>
      </c>
      <c r="F164" s="505">
        <f>'Financial Ratios'!F117</f>
        <v>2.8</v>
      </c>
      <c r="G164" s="505">
        <f>'Financial Ratios'!G117</f>
        <v>2.6</v>
      </c>
      <c r="H164" s="1348"/>
      <c r="I164" s="718"/>
      <c r="J164" s="718"/>
      <c r="K164" s="718"/>
      <c r="L164" s="718"/>
      <c r="M164" s="718"/>
      <c r="N164" s="718"/>
      <c r="O164" s="718"/>
      <c r="P164" s="718"/>
      <c r="Q164" s="718"/>
      <c r="R164" s="718"/>
      <c r="S164" s="718"/>
      <c r="T164" s="718"/>
      <c r="U164" s="718"/>
      <c r="V164" s="718"/>
      <c r="W164" s="718"/>
      <c r="X164" s="718"/>
      <c r="Y164" s="718"/>
      <c r="Z164" s="718"/>
      <c r="AA164" s="96"/>
      <c r="AB164" s="96"/>
      <c r="AC164" s="96"/>
      <c r="AD164" s="96"/>
      <c r="AE164" s="96"/>
      <c r="AF164" s="96"/>
      <c r="AG164" s="96"/>
      <c r="AH164" s="96"/>
      <c r="AI164" s="96"/>
      <c r="AJ164" s="96"/>
      <c r="AK164" s="96"/>
      <c r="AL164" s="96"/>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c r="BN164" s="96"/>
      <c r="BO164" s="96"/>
      <c r="BP164" s="96"/>
      <c r="BQ164" s="96"/>
      <c r="BR164" s="96"/>
      <c r="BS164" s="96"/>
      <c r="BT164" s="96"/>
      <c r="BU164" s="96"/>
      <c r="BV164" s="96"/>
      <c r="BW164" s="96"/>
      <c r="BX164" s="96"/>
      <c r="BY164" s="96"/>
      <c r="BZ164" s="96"/>
      <c r="CA164" s="96"/>
      <c r="CB164" s="96"/>
      <c r="CC164" s="96"/>
      <c r="CD164" s="96"/>
      <c r="CE164" s="96"/>
      <c r="CF164" s="96"/>
      <c r="CG164" s="96"/>
      <c r="CH164" s="96"/>
      <c r="CI164" s="96"/>
      <c r="CJ164" s="96"/>
      <c r="CK164" s="96"/>
      <c r="CL164" s="96"/>
      <c r="CM164" s="96"/>
      <c r="CN164" s="96"/>
      <c r="CO164" s="96"/>
      <c r="CP164" s="96"/>
      <c r="CQ164" s="96"/>
      <c r="CR164" s="96"/>
      <c r="CS164" s="96"/>
      <c r="CT164" s="96"/>
      <c r="CU164" s="96"/>
      <c r="CV164" s="96"/>
      <c r="CW164" s="96"/>
      <c r="CX164" s="96"/>
      <c r="CY164" s="96"/>
      <c r="CZ164" s="96"/>
      <c r="DA164" s="96"/>
      <c r="DB164" s="96"/>
      <c r="DC164" s="96"/>
      <c r="DD164" s="96"/>
      <c r="DE164" s="96"/>
      <c r="DF164" s="96"/>
      <c r="DG164" s="96"/>
      <c r="DH164" s="96"/>
      <c r="DI164" s="96"/>
      <c r="DJ164" s="96"/>
      <c r="DK164" s="96"/>
      <c r="DL164" s="96"/>
      <c r="DM164" s="96"/>
      <c r="DN164" s="96"/>
      <c r="DO164" s="96"/>
      <c r="DP164" s="96"/>
      <c r="DQ164" s="96"/>
      <c r="DR164" s="96"/>
      <c r="DS164" s="96"/>
      <c r="DT164" s="96"/>
      <c r="DU164" s="96"/>
      <c r="DV164" s="96"/>
      <c r="DW164" s="96"/>
      <c r="DX164" s="96"/>
      <c r="DY164" s="96"/>
      <c r="DZ164" s="96"/>
      <c r="EA164" s="96"/>
      <c r="EB164" s="96"/>
      <c r="EC164" s="96"/>
      <c r="ED164" s="96"/>
      <c r="EE164" s="96"/>
      <c r="EF164" s="96"/>
      <c r="EG164" s="96"/>
      <c r="EH164" s="96"/>
      <c r="EI164" s="96"/>
      <c r="EJ164" s="96"/>
      <c r="EK164" s="96"/>
      <c r="EL164" s="96"/>
      <c r="EM164" s="96"/>
      <c r="EN164" s="96"/>
      <c r="EO164" s="96"/>
      <c r="EP164" s="96"/>
      <c r="EQ164" s="96"/>
      <c r="ER164" s="96"/>
      <c r="ES164" s="96"/>
      <c r="ET164" s="96"/>
      <c r="EU164" s="96"/>
      <c r="EV164" s="96"/>
      <c r="EW164" s="96"/>
      <c r="EX164" s="96"/>
      <c r="EY164" s="96"/>
      <c r="EZ164" s="96"/>
      <c r="FA164" s="96"/>
      <c r="FB164" s="96"/>
      <c r="FC164" s="96"/>
      <c r="FD164" s="96"/>
      <c r="FE164" s="96"/>
      <c r="FF164" s="96"/>
      <c r="FG164" s="96"/>
      <c r="FH164" s="96"/>
      <c r="FI164" s="96"/>
      <c r="FJ164" s="96"/>
      <c r="FK164" s="96"/>
      <c r="FL164" s="96"/>
      <c r="FM164" s="96"/>
      <c r="FN164" s="96"/>
      <c r="FO164" s="96"/>
      <c r="FP164" s="96"/>
      <c r="FQ164" s="96"/>
      <c r="FR164" s="96"/>
      <c r="FS164" s="96"/>
      <c r="FT164" s="96"/>
      <c r="FU164" s="96"/>
      <c r="FV164" s="96"/>
      <c r="FW164" s="96"/>
      <c r="FX164" s="96"/>
      <c r="FY164" s="96"/>
      <c r="FZ164" s="96"/>
      <c r="GA164" s="96"/>
      <c r="GB164" s="96"/>
      <c r="GC164" s="96"/>
      <c r="GD164" s="96"/>
      <c r="GE164" s="96"/>
      <c r="GF164" s="96"/>
      <c r="GG164" s="96"/>
      <c r="GH164" s="96"/>
      <c r="GI164" s="96"/>
      <c r="GJ164" s="96"/>
      <c r="GK164" s="96"/>
      <c r="GL164" s="96"/>
      <c r="GM164" s="96"/>
      <c r="GN164" s="96"/>
      <c r="GO164" s="96"/>
      <c r="GP164" s="96"/>
      <c r="GQ164" s="96"/>
      <c r="GR164" s="96"/>
      <c r="GS164" s="96"/>
      <c r="GT164" s="96"/>
      <c r="GU164" s="96"/>
      <c r="GV164" s="96"/>
      <c r="GW164" s="96"/>
      <c r="GX164" s="96"/>
      <c r="GY164" s="96"/>
      <c r="GZ164" s="96"/>
      <c r="HA164" s="96"/>
      <c r="HB164" s="96"/>
      <c r="HC164" s="96"/>
      <c r="HD164" s="96"/>
      <c r="HE164" s="96"/>
      <c r="HF164" s="96"/>
      <c r="HG164" s="96"/>
      <c r="HH164" s="96"/>
      <c r="HI164" s="96"/>
      <c r="HJ164" s="96"/>
      <c r="HK164" s="96"/>
      <c r="HL164" s="96"/>
      <c r="HM164" s="96"/>
      <c r="HN164" s="96"/>
      <c r="HO164" s="96"/>
      <c r="HP164" s="96"/>
      <c r="HQ164" s="96"/>
      <c r="HR164" s="96"/>
      <c r="HS164" s="96"/>
      <c r="HT164" s="96"/>
      <c r="HU164" s="96"/>
      <c r="HV164" s="96"/>
      <c r="HW164" s="96"/>
      <c r="HX164" s="96"/>
      <c r="HY164" s="96"/>
      <c r="HZ164" s="96"/>
      <c r="IA164" s="96"/>
      <c r="IB164" s="96"/>
      <c r="IC164" s="96"/>
      <c r="ID164" s="96"/>
      <c r="IE164" s="96"/>
      <c r="IF164" s="96"/>
      <c r="IG164" s="96"/>
      <c r="IH164" s="96"/>
      <c r="II164" s="96"/>
      <c r="IJ164" s="96"/>
      <c r="IK164" s="96"/>
      <c r="IL164" s="96"/>
      <c r="IM164" s="96"/>
      <c r="IN164" s="96"/>
      <c r="IO164" s="96"/>
      <c r="IP164" s="96"/>
      <c r="IQ164" s="96"/>
      <c r="IR164" s="96"/>
      <c r="IS164" s="96"/>
      <c r="IT164" s="96"/>
      <c r="IU164" s="96"/>
      <c r="IV164" s="96"/>
    </row>
    <row r="165" spans="1:256" s="32" customFormat="1" ht="16.5" customHeight="1" x14ac:dyDescent="0.2">
      <c r="A165" s="85" t="str">
        <f>'Financial Ratios'!A113</f>
        <v>AP and accrued liabilities turnover ratio</v>
      </c>
      <c r="B165" s="90" t="str">
        <f>'Financial Ratios'!B113</f>
        <v>NA</v>
      </c>
      <c r="C165" s="85">
        <f>'Financial Ratios'!C113</f>
        <v>4.8</v>
      </c>
      <c r="D165" s="85">
        <f>'Financial Ratios'!D113</f>
        <v>3.8</v>
      </c>
      <c r="E165" s="85">
        <f>'Financial Ratios'!E113</f>
        <v>3.6</v>
      </c>
      <c r="F165" s="85">
        <f>'Financial Ratios'!F113</f>
        <v>3.5</v>
      </c>
      <c r="G165" s="85">
        <f>'Financial Ratios'!G113</f>
        <v>3.6</v>
      </c>
      <c r="H165" s="1349"/>
      <c r="I165" s="718"/>
      <c r="J165" s="718"/>
      <c r="K165" s="718"/>
      <c r="L165" s="718"/>
      <c r="M165" s="718"/>
      <c r="N165" s="718"/>
      <c r="O165" s="718"/>
      <c r="P165" s="718"/>
      <c r="Q165" s="718"/>
      <c r="R165" s="718"/>
      <c r="S165" s="718"/>
      <c r="T165" s="718"/>
      <c r="U165" s="718"/>
      <c r="V165" s="718"/>
      <c r="W165" s="718"/>
      <c r="X165" s="718"/>
      <c r="Y165" s="718"/>
      <c r="Z165" s="718"/>
      <c r="AA165" s="96"/>
      <c r="AB165" s="96"/>
      <c r="AC165" s="96"/>
      <c r="AD165" s="96"/>
      <c r="AE165" s="96"/>
      <c r="AF165" s="96"/>
      <c r="AG165" s="96"/>
      <c r="AH165" s="96"/>
      <c r="AI165" s="96"/>
      <c r="AJ165" s="96"/>
      <c r="AK165" s="96"/>
      <c r="AL165" s="96"/>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c r="BN165" s="96"/>
      <c r="BO165" s="96"/>
      <c r="BP165" s="96"/>
      <c r="BQ165" s="96"/>
      <c r="BR165" s="96"/>
      <c r="BS165" s="96"/>
      <c r="BT165" s="96"/>
      <c r="BU165" s="96"/>
      <c r="BV165" s="96"/>
      <c r="BW165" s="96"/>
      <c r="BX165" s="96"/>
      <c r="BY165" s="96"/>
      <c r="BZ165" s="96"/>
      <c r="CA165" s="96"/>
      <c r="CB165" s="96"/>
      <c r="CC165" s="96"/>
      <c r="CD165" s="96"/>
      <c r="CE165" s="96"/>
      <c r="CF165" s="96"/>
      <c r="CG165" s="96"/>
      <c r="CH165" s="96"/>
      <c r="CI165" s="96"/>
      <c r="CJ165" s="96"/>
      <c r="CK165" s="96"/>
      <c r="CL165" s="96"/>
      <c r="CM165" s="96"/>
      <c r="CN165" s="96"/>
      <c r="CO165" s="96"/>
      <c r="CP165" s="96"/>
      <c r="CQ165" s="96"/>
      <c r="CR165" s="96"/>
      <c r="CS165" s="96"/>
      <c r="CT165" s="96"/>
      <c r="CU165" s="96"/>
      <c r="CV165" s="96"/>
      <c r="CW165" s="96"/>
      <c r="CX165" s="96"/>
      <c r="CY165" s="96"/>
      <c r="CZ165" s="96"/>
      <c r="DA165" s="96"/>
      <c r="DB165" s="96"/>
      <c r="DC165" s="96"/>
      <c r="DD165" s="96"/>
      <c r="DE165" s="96"/>
      <c r="DF165" s="96"/>
      <c r="DG165" s="96"/>
      <c r="DH165" s="96"/>
      <c r="DI165" s="96"/>
      <c r="DJ165" s="96"/>
      <c r="DK165" s="96"/>
      <c r="DL165" s="96"/>
      <c r="DM165" s="96"/>
      <c r="DN165" s="96"/>
      <c r="DO165" s="96"/>
      <c r="DP165" s="96"/>
      <c r="DQ165" s="96"/>
      <c r="DR165" s="96"/>
      <c r="DS165" s="96"/>
      <c r="DT165" s="96"/>
      <c r="DU165" s="96"/>
      <c r="DV165" s="96"/>
      <c r="DW165" s="96"/>
      <c r="DX165" s="96"/>
      <c r="DY165" s="96"/>
      <c r="DZ165" s="96"/>
      <c r="EA165" s="96"/>
      <c r="EB165" s="96"/>
      <c r="EC165" s="96"/>
      <c r="ED165" s="96"/>
      <c r="EE165" s="96"/>
      <c r="EF165" s="96"/>
      <c r="EG165" s="96"/>
      <c r="EH165" s="96"/>
      <c r="EI165" s="96"/>
      <c r="EJ165" s="96"/>
      <c r="EK165" s="96"/>
      <c r="EL165" s="96"/>
      <c r="EM165" s="96"/>
      <c r="EN165" s="96"/>
      <c r="EO165" s="96"/>
      <c r="EP165" s="96"/>
      <c r="EQ165" s="96"/>
      <c r="ER165" s="96"/>
      <c r="ES165" s="96"/>
      <c r="ET165" s="96"/>
      <c r="EU165" s="96"/>
      <c r="EV165" s="96"/>
      <c r="EW165" s="96"/>
      <c r="EX165" s="96"/>
      <c r="EY165" s="96"/>
      <c r="EZ165" s="96"/>
      <c r="FA165" s="96"/>
      <c r="FB165" s="96"/>
      <c r="FC165" s="96"/>
      <c r="FD165" s="96"/>
      <c r="FE165" s="96"/>
      <c r="FF165" s="96"/>
      <c r="FG165" s="96"/>
      <c r="FH165" s="96"/>
      <c r="FI165" s="96"/>
      <c r="FJ165" s="96"/>
      <c r="FK165" s="96"/>
      <c r="FL165" s="96"/>
      <c r="FM165" s="96"/>
      <c r="FN165" s="96"/>
      <c r="FO165" s="96"/>
      <c r="FP165" s="96"/>
      <c r="FQ165" s="96"/>
      <c r="FR165" s="96"/>
      <c r="FS165" s="96"/>
      <c r="FT165" s="96"/>
      <c r="FU165" s="96"/>
      <c r="FV165" s="96"/>
      <c r="FW165" s="96"/>
      <c r="FX165" s="96"/>
      <c r="FY165" s="96"/>
      <c r="FZ165" s="96"/>
      <c r="GA165" s="96"/>
      <c r="GB165" s="96"/>
      <c r="GC165" s="96"/>
      <c r="GD165" s="96"/>
      <c r="GE165" s="96"/>
      <c r="GF165" s="96"/>
      <c r="GG165" s="96"/>
      <c r="GH165" s="96"/>
      <c r="GI165" s="96"/>
      <c r="GJ165" s="96"/>
      <c r="GK165" s="96"/>
      <c r="GL165" s="96"/>
      <c r="GM165" s="96"/>
      <c r="GN165" s="96"/>
      <c r="GO165" s="96"/>
      <c r="GP165" s="96"/>
      <c r="GQ165" s="96"/>
      <c r="GR165" s="96"/>
      <c r="GS165" s="96"/>
      <c r="GT165" s="96"/>
      <c r="GU165" s="96"/>
      <c r="GV165" s="96"/>
      <c r="GW165" s="96"/>
      <c r="GX165" s="96"/>
      <c r="GY165" s="96"/>
      <c r="GZ165" s="96"/>
      <c r="HA165" s="96"/>
      <c r="HB165" s="96"/>
      <c r="HC165" s="96"/>
      <c r="HD165" s="96"/>
      <c r="HE165" s="96"/>
      <c r="HF165" s="96"/>
      <c r="HG165" s="96"/>
      <c r="HH165" s="96"/>
      <c r="HI165" s="96"/>
      <c r="HJ165" s="96"/>
      <c r="HK165" s="96"/>
      <c r="HL165" s="96"/>
      <c r="HM165" s="96"/>
      <c r="HN165" s="96"/>
      <c r="HO165" s="96"/>
      <c r="HP165" s="96"/>
      <c r="HQ165" s="96"/>
      <c r="HR165" s="96"/>
      <c r="HS165" s="96"/>
      <c r="HT165" s="96"/>
      <c r="HU165" s="96"/>
      <c r="HV165" s="96"/>
      <c r="HW165" s="96"/>
      <c r="HX165" s="96"/>
      <c r="HY165" s="96"/>
      <c r="HZ165" s="96"/>
      <c r="IA165" s="96"/>
      <c r="IB165" s="96"/>
      <c r="IC165" s="96"/>
      <c r="ID165" s="96"/>
      <c r="IE165" s="96"/>
      <c r="IF165" s="96"/>
      <c r="IG165" s="96"/>
      <c r="IH165" s="96"/>
      <c r="II165" s="96"/>
      <c r="IJ165" s="96"/>
      <c r="IK165" s="96"/>
      <c r="IL165" s="96"/>
      <c r="IM165" s="96"/>
      <c r="IN165" s="96"/>
      <c r="IO165" s="96"/>
      <c r="IP165" s="96"/>
      <c r="IQ165" s="96"/>
      <c r="IR165" s="96"/>
      <c r="IS165" s="96"/>
      <c r="IT165" s="96"/>
      <c r="IU165" s="96"/>
      <c r="IV165" s="96"/>
    </row>
    <row r="166" spans="1:256" s="219" customFormat="1" ht="9" customHeight="1" x14ac:dyDescent="0.2">
      <c r="A166" s="200"/>
      <c r="B166" s="218"/>
      <c r="C166" s="218"/>
      <c r="D166" s="215"/>
      <c r="E166" s="215"/>
      <c r="F166" s="218"/>
      <c r="H166" s="1008"/>
      <c r="I166" s="1169"/>
      <c r="J166" s="1169"/>
      <c r="K166" s="1169"/>
      <c r="L166" s="1169"/>
      <c r="M166" s="1169"/>
      <c r="N166" s="1169"/>
      <c r="O166" s="1169"/>
      <c r="P166" s="1169"/>
      <c r="Q166" s="1169"/>
      <c r="R166" s="1169"/>
      <c r="S166" s="1169"/>
      <c r="T166" s="1169"/>
      <c r="U166" s="1169"/>
      <c r="V166" s="1169"/>
      <c r="W166" s="1169"/>
      <c r="X166" s="1169"/>
      <c r="Y166" s="1169"/>
      <c r="Z166" s="1169"/>
      <c r="AA166" s="82"/>
      <c r="AB166" s="82"/>
      <c r="AC166" s="82"/>
      <c r="AD166" s="82"/>
      <c r="AE166" s="82"/>
      <c r="AF166" s="82"/>
      <c r="AG166" s="82"/>
      <c r="AH166" s="82"/>
      <c r="AI166" s="82"/>
      <c r="AJ166" s="82"/>
      <c r="AK166" s="82"/>
      <c r="AL166" s="82"/>
      <c r="AM166" s="82"/>
      <c r="AN166" s="82"/>
      <c r="AO166" s="82"/>
      <c r="AP166" s="82"/>
      <c r="AQ166" s="82"/>
      <c r="AR166" s="82"/>
      <c r="AS166" s="82"/>
      <c r="AT166" s="82"/>
      <c r="AU166" s="82"/>
      <c r="AV166" s="82"/>
      <c r="AW166" s="82"/>
      <c r="AX166" s="82"/>
      <c r="AY166" s="82"/>
      <c r="AZ166" s="82"/>
      <c r="BA166" s="82"/>
      <c r="BB166" s="82"/>
      <c r="BC166" s="82"/>
      <c r="BD166" s="82"/>
      <c r="BE166" s="82"/>
      <c r="BF166" s="82"/>
      <c r="BG166" s="82"/>
      <c r="BH166" s="82"/>
      <c r="BI166" s="82"/>
      <c r="BJ166" s="82"/>
      <c r="BK166" s="82"/>
      <c r="BL166" s="82"/>
      <c r="BM166" s="82"/>
      <c r="BN166" s="82"/>
      <c r="BO166" s="82"/>
      <c r="BP166" s="82"/>
      <c r="BQ166" s="82"/>
      <c r="BR166" s="82"/>
      <c r="BS166" s="82"/>
      <c r="BT166" s="82"/>
      <c r="BU166" s="82"/>
      <c r="BV166" s="82"/>
      <c r="BW166" s="82"/>
      <c r="BX166" s="82"/>
      <c r="BY166" s="82"/>
      <c r="BZ166" s="82"/>
      <c r="CA166" s="82"/>
      <c r="CB166" s="82"/>
      <c r="CC166" s="82"/>
      <c r="CD166" s="82"/>
      <c r="CE166" s="82"/>
      <c r="CF166" s="82"/>
      <c r="CG166" s="82"/>
      <c r="CH166" s="82"/>
      <c r="CI166" s="82"/>
      <c r="CJ166" s="82"/>
      <c r="CK166" s="82"/>
      <c r="CL166" s="82"/>
      <c r="CM166" s="82"/>
      <c r="CN166" s="82"/>
      <c r="CO166" s="82"/>
      <c r="CP166" s="82"/>
      <c r="CQ166" s="82"/>
      <c r="CR166" s="82"/>
      <c r="CS166" s="82"/>
      <c r="CT166" s="82"/>
      <c r="CU166" s="82"/>
      <c r="CV166" s="82"/>
      <c r="CW166" s="82"/>
      <c r="CX166" s="82"/>
      <c r="CY166" s="82"/>
      <c r="CZ166" s="82"/>
      <c r="DA166" s="82"/>
      <c r="DB166" s="82"/>
      <c r="DC166" s="82"/>
      <c r="DD166" s="82"/>
      <c r="DE166" s="82"/>
      <c r="DF166" s="82"/>
      <c r="DG166" s="82"/>
      <c r="DH166" s="82"/>
      <c r="DI166" s="82"/>
      <c r="DJ166" s="82"/>
      <c r="DK166" s="82"/>
      <c r="DL166" s="82"/>
      <c r="DM166" s="82"/>
      <c r="DN166" s="82"/>
      <c r="DO166" s="82"/>
      <c r="DP166" s="82"/>
      <c r="DQ166" s="82"/>
      <c r="DR166" s="82"/>
      <c r="DS166" s="82"/>
      <c r="DT166" s="82"/>
      <c r="DU166" s="82"/>
      <c r="DV166" s="82"/>
      <c r="DW166" s="82"/>
      <c r="DX166" s="82"/>
      <c r="DY166" s="82"/>
      <c r="DZ166" s="82"/>
      <c r="EA166" s="82"/>
      <c r="EB166" s="82"/>
      <c r="EC166" s="82"/>
      <c r="ED166" s="82"/>
      <c r="EE166" s="82"/>
      <c r="EF166" s="82"/>
      <c r="EG166" s="82"/>
      <c r="EH166" s="82"/>
      <c r="EI166" s="82"/>
      <c r="EJ166" s="82"/>
      <c r="EK166" s="82"/>
      <c r="EL166" s="82"/>
      <c r="EM166" s="82"/>
      <c r="EN166" s="82"/>
      <c r="EO166" s="82"/>
      <c r="EP166" s="82"/>
      <c r="EQ166" s="82"/>
      <c r="ER166" s="82"/>
      <c r="ES166" s="82"/>
      <c r="ET166" s="82"/>
      <c r="EU166" s="82"/>
      <c r="EV166" s="82"/>
      <c r="EW166" s="82"/>
      <c r="EX166" s="82"/>
      <c r="EY166" s="82"/>
      <c r="EZ166" s="82"/>
      <c r="FA166" s="82"/>
      <c r="FB166" s="82"/>
      <c r="FC166" s="82"/>
      <c r="FD166" s="82"/>
      <c r="FE166" s="82"/>
      <c r="FF166" s="82"/>
      <c r="FG166" s="82"/>
      <c r="FH166" s="82"/>
      <c r="FI166" s="82"/>
      <c r="FJ166" s="82"/>
      <c r="FK166" s="82"/>
      <c r="FL166" s="82"/>
      <c r="FM166" s="82"/>
      <c r="FN166" s="82"/>
      <c r="FO166" s="82"/>
      <c r="FP166" s="82"/>
      <c r="FQ166" s="82"/>
      <c r="FR166" s="82"/>
      <c r="FS166" s="82"/>
      <c r="FT166" s="82"/>
      <c r="FU166" s="82"/>
      <c r="FV166" s="82"/>
      <c r="FW166" s="82"/>
      <c r="FX166" s="82"/>
      <c r="FY166" s="82"/>
      <c r="FZ166" s="82"/>
      <c r="GA166" s="82"/>
      <c r="GB166" s="82"/>
      <c r="GC166" s="82"/>
      <c r="GD166" s="82"/>
      <c r="GE166" s="82"/>
      <c r="GF166" s="82"/>
      <c r="GG166" s="82"/>
      <c r="GH166" s="82"/>
      <c r="GI166" s="82"/>
      <c r="GJ166" s="82"/>
      <c r="GK166" s="82"/>
      <c r="GL166" s="82"/>
      <c r="GM166" s="82"/>
      <c r="GN166" s="82"/>
      <c r="GO166" s="82"/>
      <c r="GP166" s="82"/>
      <c r="GQ166" s="82"/>
      <c r="GR166" s="82"/>
      <c r="GS166" s="82"/>
      <c r="GT166" s="82"/>
      <c r="GU166" s="82"/>
      <c r="GV166" s="82"/>
      <c r="GW166" s="82"/>
      <c r="GX166" s="82"/>
      <c r="GY166" s="82"/>
      <c r="GZ166" s="82"/>
      <c r="HA166" s="82"/>
      <c r="HB166" s="82"/>
      <c r="HC166" s="82"/>
      <c r="HD166" s="82"/>
      <c r="HE166" s="82"/>
      <c r="HF166" s="82"/>
      <c r="HG166" s="82"/>
      <c r="HH166" s="82"/>
      <c r="HI166" s="82"/>
      <c r="HJ166" s="82"/>
      <c r="HK166" s="82"/>
      <c r="HL166" s="82"/>
      <c r="HM166" s="82"/>
      <c r="HN166" s="82"/>
      <c r="HO166" s="82"/>
      <c r="HP166" s="82"/>
      <c r="HQ166" s="82"/>
      <c r="HR166" s="82"/>
      <c r="HS166" s="82"/>
      <c r="HT166" s="82"/>
      <c r="HU166" s="82"/>
      <c r="HV166" s="82"/>
      <c r="HW166" s="82"/>
      <c r="HX166" s="82"/>
      <c r="HY166" s="82"/>
      <c r="HZ166" s="82"/>
      <c r="IA166" s="82"/>
      <c r="IB166" s="82"/>
      <c r="IC166" s="82"/>
      <c r="ID166" s="82"/>
      <c r="IE166" s="82"/>
      <c r="IF166" s="82"/>
      <c r="IG166" s="82"/>
      <c r="IH166" s="82"/>
      <c r="II166" s="82"/>
      <c r="IJ166" s="82"/>
      <c r="IK166" s="82"/>
      <c r="IL166" s="82"/>
      <c r="IM166" s="82"/>
      <c r="IN166" s="82"/>
      <c r="IO166" s="82"/>
      <c r="IP166" s="82"/>
      <c r="IQ166" s="82"/>
      <c r="IR166" s="82"/>
      <c r="IS166" s="82"/>
      <c r="IT166" s="82"/>
      <c r="IU166" s="82"/>
      <c r="IV166" s="82"/>
    </row>
    <row r="167" spans="1:256" s="211" customFormat="1" ht="16.5" customHeight="1" x14ac:dyDescent="0.2">
      <c r="A167" s="702" t="s">
        <v>482</v>
      </c>
      <c r="B167" s="212"/>
      <c r="C167" s="212"/>
      <c r="D167" s="212"/>
      <c r="E167" s="212"/>
      <c r="F167" s="212"/>
      <c r="G167" s="212"/>
      <c r="H167" s="777"/>
      <c r="I167" s="777"/>
      <c r="J167" s="777"/>
      <c r="K167" s="777"/>
      <c r="L167" s="777"/>
      <c r="M167" s="777"/>
      <c r="N167" s="777"/>
      <c r="O167" s="777"/>
      <c r="P167" s="777"/>
      <c r="Q167" s="777"/>
      <c r="R167" s="777"/>
      <c r="S167" s="777"/>
      <c r="T167" s="777"/>
      <c r="U167" s="777"/>
      <c r="V167" s="777"/>
      <c r="W167" s="777"/>
      <c r="X167" s="777"/>
      <c r="Y167" s="777"/>
      <c r="Z167" s="777"/>
    </row>
    <row r="168" spans="1:256" s="211" customFormat="1" ht="16.5" customHeight="1" x14ac:dyDescent="0.2">
      <c r="A168" s="702" t="s">
        <v>87</v>
      </c>
      <c r="B168" s="212"/>
      <c r="C168" s="212"/>
      <c r="D168" s="212"/>
      <c r="E168" s="212"/>
      <c r="F168" s="212"/>
      <c r="G168" s="212"/>
      <c r="H168" s="777"/>
      <c r="I168" s="777"/>
      <c r="J168" s="777"/>
      <c r="K168" s="777"/>
      <c r="L168" s="777"/>
      <c r="M168" s="777"/>
      <c r="N168" s="777"/>
      <c r="O168" s="777"/>
      <c r="P168" s="777"/>
      <c r="Q168" s="777"/>
      <c r="R168" s="777"/>
      <c r="S168" s="777"/>
      <c r="T168" s="777"/>
      <c r="U168" s="777"/>
      <c r="V168" s="777"/>
      <c r="W168" s="777"/>
      <c r="X168" s="777"/>
      <c r="Y168" s="777"/>
      <c r="Z168" s="777"/>
    </row>
    <row r="169" spans="1:256" s="41" customFormat="1" ht="16.5" customHeight="1" x14ac:dyDescent="0.2">
      <c r="A169" s="193"/>
      <c r="B169" s="468" t="s">
        <v>493</v>
      </c>
      <c r="C169" s="269"/>
      <c r="D169" s="269"/>
      <c r="E169" s="269"/>
      <c r="F169" s="269"/>
      <c r="G169" s="269"/>
      <c r="H169" s="677"/>
      <c r="I169" s="677"/>
      <c r="J169" s="677"/>
      <c r="K169" s="677"/>
      <c r="L169" s="677"/>
      <c r="M169" s="677"/>
      <c r="N169" s="677"/>
      <c r="O169" s="677"/>
      <c r="P169" s="677"/>
      <c r="Q169" s="677"/>
      <c r="R169" s="677"/>
      <c r="S169" s="677"/>
      <c r="T169" s="677"/>
      <c r="U169" s="677"/>
      <c r="V169" s="677"/>
      <c r="W169" s="677"/>
      <c r="X169" s="677"/>
      <c r="Y169" s="677"/>
      <c r="Z169" s="677"/>
      <c r="AA169" s="193"/>
      <c r="AB169" s="193"/>
      <c r="AC169" s="193"/>
      <c r="AD169" s="193"/>
      <c r="AE169" s="193"/>
      <c r="AF169" s="193"/>
      <c r="AG169" s="193"/>
      <c r="AH169" s="193"/>
      <c r="AI169" s="193"/>
      <c r="AJ169" s="193"/>
      <c r="AK169" s="193"/>
      <c r="AL169" s="193"/>
      <c r="AM169" s="193"/>
      <c r="AN169" s="193"/>
      <c r="AO169" s="193"/>
      <c r="AP169" s="193"/>
      <c r="AQ169" s="193"/>
      <c r="AR169" s="193"/>
      <c r="AS169" s="193"/>
      <c r="AT169" s="193"/>
      <c r="AU169" s="193"/>
      <c r="AV169" s="193"/>
      <c r="AW169" s="193"/>
      <c r="AX169" s="193"/>
      <c r="AY169" s="193"/>
      <c r="AZ169" s="193"/>
      <c r="BA169" s="193"/>
      <c r="BB169" s="193"/>
      <c r="BC169" s="193"/>
      <c r="BD169" s="193"/>
      <c r="BE169" s="193"/>
      <c r="BF169" s="193"/>
      <c r="BG169" s="193"/>
      <c r="BH169" s="193"/>
      <c r="BI169" s="193"/>
      <c r="BJ169" s="193"/>
      <c r="BK169" s="193"/>
      <c r="BL169" s="193"/>
      <c r="BM169" s="193"/>
      <c r="BN169" s="193"/>
      <c r="BO169" s="193"/>
      <c r="BP169" s="193"/>
      <c r="BQ169" s="193"/>
      <c r="BR169" s="193"/>
      <c r="BS169" s="193"/>
      <c r="BT169" s="193"/>
      <c r="BU169" s="193"/>
      <c r="BV169" s="193"/>
      <c r="BW169" s="193"/>
      <c r="BX169" s="193"/>
      <c r="BY169" s="193"/>
      <c r="BZ169" s="193"/>
      <c r="CA169" s="193"/>
      <c r="CB169" s="193"/>
      <c r="CC169" s="193"/>
      <c r="CD169" s="193"/>
      <c r="CE169" s="193"/>
      <c r="CF169" s="193"/>
      <c r="CG169" s="193"/>
      <c r="CH169" s="193"/>
      <c r="CI169" s="193"/>
      <c r="CJ169" s="193"/>
      <c r="CK169" s="193"/>
      <c r="CL169" s="193"/>
      <c r="CM169" s="193"/>
      <c r="CN169" s="193"/>
      <c r="CO169" s="193"/>
      <c r="CP169" s="193"/>
      <c r="CQ169" s="193"/>
      <c r="CR169" s="193"/>
      <c r="CS169" s="193"/>
      <c r="CT169" s="193"/>
      <c r="CU169" s="193"/>
      <c r="CV169" s="193"/>
      <c r="CW169" s="193"/>
      <c r="CX169" s="193"/>
      <c r="CY169" s="193"/>
      <c r="CZ169" s="193"/>
      <c r="DA169" s="193"/>
      <c r="DB169" s="193"/>
      <c r="DC169" s="193"/>
      <c r="DD169" s="193"/>
      <c r="DE169" s="193"/>
      <c r="DF169" s="193"/>
      <c r="DG169" s="193"/>
      <c r="DH169" s="193"/>
      <c r="DI169" s="193"/>
      <c r="DJ169" s="193"/>
      <c r="DK169" s="193"/>
      <c r="DL169" s="193"/>
      <c r="DM169" s="193"/>
      <c r="DN169" s="193"/>
      <c r="DO169" s="193"/>
      <c r="DP169" s="193"/>
      <c r="DQ169" s="193"/>
      <c r="DR169" s="193"/>
      <c r="DS169" s="193"/>
      <c r="DT169" s="193"/>
      <c r="DU169" s="193"/>
      <c r="DV169" s="193"/>
      <c r="DW169" s="193"/>
      <c r="DX169" s="193"/>
      <c r="DY169" s="193"/>
      <c r="DZ169" s="193"/>
      <c r="EA169" s="193"/>
      <c r="EB169" s="193"/>
      <c r="EC169" s="193"/>
      <c r="ED169" s="193"/>
      <c r="EE169" s="193"/>
      <c r="EF169" s="193"/>
      <c r="EG169" s="193"/>
      <c r="EH169" s="193"/>
      <c r="EI169" s="193"/>
      <c r="EJ169" s="193"/>
      <c r="EK169" s="193"/>
      <c r="EL169" s="193"/>
      <c r="EM169" s="193"/>
      <c r="EN169" s="193"/>
      <c r="EO169" s="193"/>
      <c r="EP169" s="193"/>
      <c r="EQ169" s="193"/>
      <c r="ER169" s="193"/>
      <c r="ES169" s="193"/>
      <c r="ET169" s="193"/>
      <c r="EU169" s="193"/>
      <c r="EV169" s="193"/>
      <c r="EW169" s="193"/>
      <c r="EX169" s="193"/>
      <c r="EY169" s="193"/>
      <c r="EZ169" s="193"/>
      <c r="FA169" s="193"/>
      <c r="FB169" s="193"/>
      <c r="FC169" s="193"/>
      <c r="FD169" s="193"/>
      <c r="FE169" s="193"/>
      <c r="FF169" s="193"/>
      <c r="FG169" s="193"/>
      <c r="FH169" s="193"/>
      <c r="FI169" s="193"/>
      <c r="FJ169" s="193"/>
      <c r="FK169" s="193"/>
      <c r="FL169" s="193"/>
      <c r="FM169" s="193"/>
      <c r="FN169" s="193"/>
      <c r="FO169" s="193"/>
      <c r="FP169" s="193"/>
      <c r="FQ169" s="193"/>
      <c r="FR169" s="193"/>
      <c r="FS169" s="193"/>
      <c r="FT169" s="193"/>
      <c r="FU169" s="193"/>
      <c r="FV169" s="193"/>
      <c r="FW169" s="193"/>
      <c r="FX169" s="193"/>
      <c r="FY169" s="193"/>
      <c r="FZ169" s="193"/>
      <c r="GA169" s="193"/>
      <c r="GB169" s="193"/>
      <c r="GC169" s="193"/>
      <c r="GD169" s="193"/>
      <c r="GE169" s="193"/>
      <c r="GF169" s="193"/>
      <c r="GG169" s="193"/>
      <c r="GH169" s="193"/>
      <c r="GI169" s="193"/>
      <c r="GJ169" s="193"/>
      <c r="GK169" s="193"/>
      <c r="GL169" s="193"/>
      <c r="GM169" s="193"/>
      <c r="GN169" s="193"/>
      <c r="GO169" s="193"/>
      <c r="GP169" s="193"/>
      <c r="GQ169" s="193"/>
      <c r="GR169" s="193"/>
      <c r="GS169" s="193"/>
      <c r="GT169" s="193"/>
      <c r="GU169" s="193"/>
      <c r="GV169" s="193"/>
      <c r="GW169" s="193"/>
      <c r="GX169" s="193"/>
      <c r="GY169" s="193"/>
      <c r="GZ169" s="193"/>
      <c r="HA169" s="193"/>
      <c r="HB169" s="193"/>
      <c r="HC169" s="193"/>
      <c r="HD169" s="193"/>
      <c r="HE169" s="193"/>
      <c r="HF169" s="193"/>
      <c r="HG169" s="193"/>
      <c r="HH169" s="193"/>
      <c r="HI169" s="193"/>
      <c r="HJ169" s="193"/>
      <c r="HK169" s="193"/>
      <c r="HL169" s="193"/>
      <c r="HM169" s="193"/>
      <c r="HN169" s="193"/>
      <c r="HO169" s="193"/>
      <c r="HP169" s="193"/>
      <c r="HQ169" s="193"/>
      <c r="HR169" s="193"/>
      <c r="HS169" s="193"/>
      <c r="HT169" s="193"/>
      <c r="HU169" s="193"/>
      <c r="HV169" s="193"/>
      <c r="HW169" s="193"/>
      <c r="HX169" s="193"/>
      <c r="HY169" s="193"/>
      <c r="HZ169" s="193"/>
      <c r="IA169" s="193"/>
      <c r="IB169" s="193"/>
      <c r="IC169" s="193"/>
      <c r="ID169" s="193"/>
      <c r="IE169" s="193"/>
      <c r="IF169" s="193"/>
      <c r="IG169" s="193"/>
      <c r="IH169" s="193"/>
      <c r="II169" s="193"/>
      <c r="IJ169" s="193"/>
      <c r="IK169" s="193"/>
      <c r="IL169" s="193"/>
      <c r="IM169" s="193"/>
      <c r="IN169" s="193"/>
      <c r="IO169" s="193"/>
      <c r="IP169" s="193"/>
      <c r="IQ169" s="193"/>
      <c r="IR169" s="193"/>
      <c r="IS169" s="193"/>
      <c r="IT169" s="193"/>
      <c r="IU169" s="193"/>
      <c r="IV169" s="193"/>
    </row>
    <row r="170" spans="1:256" s="41" customFormat="1" ht="16.5" customHeight="1" x14ac:dyDescent="0.2">
      <c r="A170" s="54" t="s">
        <v>241</v>
      </c>
      <c r="B170" s="58">
        <f>'Common-size FS'!B9</f>
        <v>2010</v>
      </c>
      <c r="C170" s="58">
        <f>B170+1</f>
        <v>2011</v>
      </c>
      <c r="D170" s="58">
        <f>C170+1</f>
        <v>2012</v>
      </c>
      <c r="E170" s="58">
        <f>D170+1</f>
        <v>2013</v>
      </c>
      <c r="F170" s="58">
        <f>E170+1</f>
        <v>2014</v>
      </c>
      <c r="G170" s="58">
        <f>F170+1</f>
        <v>2015</v>
      </c>
      <c r="H170" s="677"/>
      <c r="I170" s="677"/>
      <c r="J170" s="677"/>
      <c r="K170" s="677"/>
      <c r="L170" s="677"/>
      <c r="M170" s="677"/>
      <c r="N170" s="677"/>
      <c r="O170" s="677"/>
      <c r="P170" s="677"/>
      <c r="Q170" s="677"/>
      <c r="R170" s="677"/>
      <c r="S170" s="677"/>
      <c r="T170" s="677"/>
      <c r="U170" s="677"/>
      <c r="V170" s="677"/>
      <c r="W170" s="677"/>
      <c r="X170" s="677"/>
      <c r="Y170" s="677"/>
      <c r="Z170" s="677"/>
      <c r="AA170" s="193"/>
      <c r="AB170" s="193"/>
      <c r="AC170" s="193"/>
      <c r="AD170" s="193"/>
      <c r="AE170" s="193"/>
      <c r="AF170" s="193"/>
      <c r="AG170" s="193"/>
      <c r="AH170" s="193"/>
      <c r="AI170" s="193"/>
      <c r="AJ170" s="193"/>
      <c r="AK170" s="193"/>
      <c r="AL170" s="193"/>
      <c r="AM170" s="193"/>
      <c r="AN170" s="193"/>
      <c r="AO170" s="193"/>
      <c r="AP170" s="193"/>
      <c r="AQ170" s="193"/>
      <c r="AR170" s="193"/>
      <c r="AS170" s="193"/>
      <c r="AT170" s="193"/>
      <c r="AU170" s="193"/>
      <c r="AV170" s="193"/>
      <c r="AW170" s="193"/>
      <c r="AX170" s="193"/>
      <c r="AY170" s="193"/>
      <c r="AZ170" s="193"/>
      <c r="BA170" s="193"/>
      <c r="BB170" s="193"/>
      <c r="BC170" s="193"/>
      <c r="BD170" s="193"/>
      <c r="BE170" s="193"/>
      <c r="BF170" s="193"/>
      <c r="BG170" s="193"/>
      <c r="BH170" s="193"/>
      <c r="BI170" s="193"/>
      <c r="BJ170" s="193"/>
      <c r="BK170" s="193"/>
      <c r="BL170" s="193"/>
      <c r="BM170" s="193"/>
      <c r="BN170" s="193"/>
      <c r="BO170" s="193"/>
      <c r="BP170" s="193"/>
      <c r="BQ170" s="193"/>
      <c r="BR170" s="193"/>
      <c r="BS170" s="193"/>
      <c r="BT170" s="193"/>
      <c r="BU170" s="193"/>
      <c r="BV170" s="193"/>
      <c r="BW170" s="193"/>
      <c r="BX170" s="193"/>
      <c r="BY170" s="193"/>
      <c r="BZ170" s="193"/>
      <c r="CA170" s="193"/>
      <c r="CB170" s="193"/>
      <c r="CC170" s="193"/>
      <c r="CD170" s="193"/>
      <c r="CE170" s="193"/>
      <c r="CF170" s="193"/>
      <c r="CG170" s="193"/>
      <c r="CH170" s="193"/>
      <c r="CI170" s="193"/>
      <c r="CJ170" s="193"/>
      <c r="CK170" s="193"/>
      <c r="CL170" s="193"/>
      <c r="CM170" s="193"/>
      <c r="CN170" s="193"/>
      <c r="CO170" s="193"/>
      <c r="CP170" s="193"/>
      <c r="CQ170" s="193"/>
      <c r="CR170" s="193"/>
      <c r="CS170" s="193"/>
      <c r="CT170" s="193"/>
      <c r="CU170" s="193"/>
      <c r="CV170" s="193"/>
      <c r="CW170" s="193"/>
      <c r="CX170" s="193"/>
      <c r="CY170" s="193"/>
      <c r="CZ170" s="193"/>
      <c r="DA170" s="193"/>
      <c r="DB170" s="193"/>
      <c r="DC170" s="193"/>
      <c r="DD170" s="193"/>
      <c r="DE170" s="193"/>
      <c r="DF170" s="193"/>
      <c r="DG170" s="193"/>
      <c r="DH170" s="193"/>
      <c r="DI170" s="193"/>
      <c r="DJ170" s="193"/>
      <c r="DK170" s="193"/>
      <c r="DL170" s="193"/>
      <c r="DM170" s="193"/>
      <c r="DN170" s="193"/>
      <c r="DO170" s="193"/>
      <c r="DP170" s="193"/>
      <c r="DQ170" s="193"/>
      <c r="DR170" s="193"/>
      <c r="DS170" s="193"/>
      <c r="DT170" s="193"/>
      <c r="DU170" s="193"/>
      <c r="DV170" s="193"/>
      <c r="DW170" s="193"/>
      <c r="DX170" s="193"/>
      <c r="DY170" s="193"/>
      <c r="DZ170" s="193"/>
      <c r="EA170" s="193"/>
      <c r="EB170" s="193"/>
      <c r="EC170" s="193"/>
      <c r="ED170" s="193"/>
      <c r="EE170" s="193"/>
      <c r="EF170" s="193"/>
      <c r="EG170" s="193"/>
      <c r="EH170" s="193"/>
      <c r="EI170" s="193"/>
      <c r="EJ170" s="193"/>
      <c r="EK170" s="193"/>
      <c r="EL170" s="193"/>
      <c r="EM170" s="193"/>
      <c r="EN170" s="193"/>
      <c r="EO170" s="193"/>
      <c r="EP170" s="193"/>
      <c r="EQ170" s="193"/>
      <c r="ER170" s="193"/>
      <c r="ES170" s="193"/>
      <c r="ET170" s="193"/>
      <c r="EU170" s="193"/>
      <c r="EV170" s="193"/>
      <c r="EW170" s="193"/>
      <c r="EX170" s="193"/>
      <c r="EY170" s="193"/>
      <c r="EZ170" s="193"/>
      <c r="FA170" s="193"/>
      <c r="FB170" s="193"/>
      <c r="FC170" s="193"/>
      <c r="FD170" s="193"/>
      <c r="FE170" s="193"/>
      <c r="FF170" s="193"/>
      <c r="FG170" s="193"/>
      <c r="FH170" s="193"/>
      <c r="FI170" s="193"/>
      <c r="FJ170" s="193"/>
      <c r="FK170" s="193"/>
      <c r="FL170" s="193"/>
      <c r="FM170" s="193"/>
      <c r="FN170" s="193"/>
      <c r="FO170" s="193"/>
      <c r="FP170" s="193"/>
      <c r="FQ170" s="193"/>
      <c r="FR170" s="193"/>
      <c r="FS170" s="193"/>
      <c r="FT170" s="193"/>
      <c r="FU170" s="193"/>
      <c r="FV170" s="193"/>
      <c r="FW170" s="193"/>
      <c r="FX170" s="193"/>
      <c r="FY170" s="193"/>
      <c r="FZ170" s="193"/>
      <c r="GA170" s="193"/>
      <c r="GB170" s="193"/>
      <c r="GC170" s="193"/>
      <c r="GD170" s="193"/>
      <c r="GE170" s="193"/>
      <c r="GF170" s="193"/>
      <c r="GG170" s="193"/>
      <c r="GH170" s="193"/>
      <c r="GI170" s="193"/>
      <c r="GJ170" s="193"/>
      <c r="GK170" s="193"/>
      <c r="GL170" s="193"/>
      <c r="GM170" s="193"/>
      <c r="GN170" s="193"/>
      <c r="GO170" s="193"/>
      <c r="GP170" s="193"/>
      <c r="GQ170" s="193"/>
      <c r="GR170" s="193"/>
      <c r="GS170" s="193"/>
      <c r="GT170" s="193"/>
      <c r="GU170" s="193"/>
      <c r="GV170" s="193"/>
      <c r="GW170" s="193"/>
      <c r="GX170" s="193"/>
      <c r="GY170" s="193"/>
      <c r="GZ170" s="193"/>
      <c r="HA170" s="193"/>
      <c r="HB170" s="193"/>
      <c r="HC170" s="193"/>
      <c r="HD170" s="193"/>
      <c r="HE170" s="193"/>
      <c r="HF170" s="193"/>
      <c r="HG170" s="193"/>
      <c r="HH170" s="193"/>
      <c r="HI170" s="193"/>
      <c r="HJ170" s="193"/>
      <c r="HK170" s="193"/>
      <c r="HL170" s="193"/>
      <c r="HM170" s="193"/>
      <c r="HN170" s="193"/>
      <c r="HO170" s="193"/>
      <c r="HP170" s="193"/>
      <c r="HQ170" s="193"/>
      <c r="HR170" s="193"/>
      <c r="HS170" s="193"/>
      <c r="HT170" s="193"/>
      <c r="HU170" s="193"/>
      <c r="HV170" s="193"/>
      <c r="HW170" s="193"/>
      <c r="HX170" s="193"/>
      <c r="HY170" s="193"/>
      <c r="HZ170" s="193"/>
      <c r="IA170" s="193"/>
      <c r="IB170" s="193"/>
      <c r="IC170" s="193"/>
      <c r="ID170" s="193"/>
      <c r="IE170" s="193"/>
      <c r="IF170" s="193"/>
      <c r="IG170" s="193"/>
      <c r="IH170" s="193"/>
      <c r="II170" s="193"/>
      <c r="IJ170" s="193"/>
      <c r="IK170" s="193"/>
      <c r="IL170" s="193"/>
      <c r="IM170" s="193"/>
      <c r="IN170" s="193"/>
      <c r="IO170" s="193"/>
      <c r="IP170" s="193"/>
      <c r="IQ170" s="193"/>
      <c r="IR170" s="193"/>
      <c r="IS170" s="193"/>
      <c r="IT170" s="193"/>
      <c r="IU170" s="193"/>
      <c r="IV170" s="193"/>
    </row>
    <row r="171" spans="1:256" s="427" customFormat="1" ht="18" customHeight="1" x14ac:dyDescent="0.2">
      <c r="A171" s="286" t="s">
        <v>1074</v>
      </c>
      <c r="B171" s="288"/>
      <c r="C171" s="287"/>
      <c r="D171" s="287"/>
      <c r="E171" s="287"/>
      <c r="F171" s="287"/>
      <c r="G171" s="287"/>
      <c r="H171" s="288"/>
      <c r="I171" s="1059"/>
      <c r="J171" s="1059"/>
      <c r="K171" s="1059"/>
      <c r="L171" s="1059"/>
      <c r="M171" s="1059"/>
      <c r="N171" s="1059"/>
      <c r="O171" s="1059"/>
      <c r="P171" s="1059"/>
      <c r="Q171" s="1059"/>
      <c r="R171" s="1059"/>
      <c r="S171" s="1059"/>
      <c r="T171" s="1059"/>
      <c r="U171" s="1059"/>
      <c r="V171" s="1059"/>
      <c r="W171" s="1059"/>
      <c r="X171" s="1059"/>
      <c r="Y171" s="1059"/>
      <c r="Z171" s="1059"/>
      <c r="AA171" s="287"/>
      <c r="AB171" s="287"/>
      <c r="AC171" s="287"/>
      <c r="AD171" s="287"/>
      <c r="AE171" s="287"/>
      <c r="AF171" s="287"/>
      <c r="AG171" s="287"/>
      <c r="AH171" s="287"/>
      <c r="AI171" s="287"/>
      <c r="AJ171" s="287"/>
      <c r="AK171" s="287"/>
      <c r="AL171" s="287"/>
      <c r="AM171" s="287"/>
      <c r="AN171" s="287"/>
      <c r="AO171" s="287"/>
      <c r="AP171" s="287"/>
      <c r="AQ171" s="287"/>
      <c r="AR171" s="287"/>
      <c r="AS171" s="287"/>
      <c r="AT171" s="287"/>
      <c r="AU171" s="287"/>
      <c r="AV171" s="287"/>
      <c r="AW171" s="287"/>
      <c r="AX171" s="287"/>
      <c r="AY171" s="287"/>
      <c r="AZ171" s="287"/>
      <c r="BA171" s="287"/>
      <c r="BB171" s="287"/>
      <c r="BC171" s="287"/>
      <c r="BD171" s="287"/>
      <c r="BE171" s="287"/>
      <c r="BF171" s="287"/>
      <c r="BG171" s="287"/>
      <c r="BH171" s="287"/>
      <c r="BI171" s="287"/>
      <c r="BJ171" s="287"/>
      <c r="BK171" s="287"/>
      <c r="BL171" s="287"/>
      <c r="BM171" s="287"/>
      <c r="BN171" s="287"/>
      <c r="BO171" s="287"/>
      <c r="BP171" s="287"/>
      <c r="BQ171" s="287"/>
      <c r="BR171" s="287"/>
      <c r="BS171" s="287"/>
      <c r="BT171" s="287"/>
      <c r="BU171" s="287"/>
      <c r="BV171" s="287"/>
      <c r="BW171" s="287"/>
      <c r="BX171" s="287"/>
      <c r="BY171" s="287"/>
      <c r="BZ171" s="287"/>
      <c r="CA171" s="287"/>
      <c r="CB171" s="287"/>
      <c r="CC171" s="287"/>
      <c r="CD171" s="287"/>
      <c r="CE171" s="287"/>
      <c r="CF171" s="287"/>
      <c r="CG171" s="287"/>
      <c r="CH171" s="287"/>
      <c r="CI171" s="287"/>
      <c r="CJ171" s="287"/>
      <c r="CK171" s="287"/>
      <c r="CL171" s="287"/>
      <c r="CM171" s="287"/>
      <c r="CN171" s="287"/>
      <c r="CO171" s="287"/>
      <c r="CP171" s="287"/>
      <c r="CQ171" s="287"/>
      <c r="CR171" s="287"/>
      <c r="CS171" s="287"/>
      <c r="CT171" s="287"/>
      <c r="CU171" s="287"/>
      <c r="CV171" s="287"/>
      <c r="CW171" s="287"/>
      <c r="CX171" s="287"/>
      <c r="CY171" s="287"/>
      <c r="CZ171" s="287"/>
      <c r="DA171" s="287"/>
      <c r="DB171" s="287"/>
      <c r="DC171" s="287"/>
      <c r="DD171" s="287"/>
      <c r="DE171" s="287"/>
      <c r="DF171" s="287"/>
      <c r="DG171" s="287"/>
      <c r="DH171" s="287"/>
      <c r="DI171" s="287"/>
      <c r="DJ171" s="287"/>
      <c r="DK171" s="287"/>
      <c r="DL171" s="287"/>
      <c r="DM171" s="287"/>
      <c r="DN171" s="287"/>
      <c r="DO171" s="287"/>
      <c r="DP171" s="287"/>
      <c r="DQ171" s="287"/>
      <c r="DR171" s="287"/>
      <c r="DS171" s="287"/>
      <c r="DT171" s="287"/>
      <c r="DU171" s="287"/>
      <c r="DV171" s="287"/>
      <c r="DW171" s="287"/>
      <c r="DX171" s="287"/>
      <c r="DY171" s="287"/>
      <c r="DZ171" s="287"/>
      <c r="EA171" s="287"/>
      <c r="EB171" s="287"/>
      <c r="EC171" s="287"/>
      <c r="ED171" s="287"/>
      <c r="EE171" s="287"/>
      <c r="EF171" s="287"/>
      <c r="EG171" s="287"/>
      <c r="EH171" s="287"/>
      <c r="EI171" s="287"/>
      <c r="EJ171" s="287"/>
      <c r="EK171" s="287"/>
      <c r="EL171" s="287"/>
      <c r="EM171" s="287"/>
      <c r="EN171" s="287"/>
      <c r="EO171" s="287"/>
      <c r="EP171" s="287"/>
      <c r="EQ171" s="287"/>
      <c r="ER171" s="287"/>
      <c r="ES171" s="287"/>
      <c r="ET171" s="287"/>
      <c r="EU171" s="287"/>
      <c r="EV171" s="287"/>
      <c r="EW171" s="287"/>
      <c r="EX171" s="287"/>
      <c r="EY171" s="287"/>
      <c r="EZ171" s="287"/>
      <c r="FA171" s="287"/>
      <c r="FB171" s="287"/>
      <c r="FC171" s="287"/>
      <c r="FD171" s="287"/>
      <c r="FE171" s="287"/>
      <c r="FF171" s="287"/>
      <c r="FG171" s="287"/>
      <c r="FH171" s="287"/>
      <c r="FI171" s="287"/>
      <c r="FJ171" s="287"/>
      <c r="FK171" s="287"/>
      <c r="FL171" s="287"/>
      <c r="FM171" s="287"/>
      <c r="FN171" s="287"/>
      <c r="FO171" s="287"/>
      <c r="FP171" s="287"/>
      <c r="FQ171" s="287"/>
      <c r="FR171" s="287"/>
      <c r="FS171" s="287"/>
      <c r="FT171" s="287"/>
      <c r="FU171" s="287"/>
      <c r="FV171" s="287"/>
      <c r="FW171" s="287"/>
      <c r="FX171" s="287"/>
      <c r="FY171" s="287"/>
      <c r="FZ171" s="287"/>
      <c r="GA171" s="287"/>
      <c r="GB171" s="287"/>
      <c r="GC171" s="287"/>
      <c r="GD171" s="287"/>
      <c r="GE171" s="287"/>
      <c r="GF171" s="287"/>
      <c r="GG171" s="287"/>
      <c r="GH171" s="287"/>
      <c r="GI171" s="287"/>
      <c r="GJ171" s="287"/>
      <c r="GK171" s="287"/>
      <c r="GL171" s="287"/>
      <c r="GM171" s="287"/>
      <c r="GN171" s="287"/>
      <c r="GO171" s="287"/>
      <c r="GP171" s="287"/>
      <c r="GQ171" s="287"/>
      <c r="GR171" s="287"/>
      <c r="GS171" s="287"/>
      <c r="GT171" s="287"/>
      <c r="GU171" s="287"/>
      <c r="GV171" s="287"/>
      <c r="GW171" s="287"/>
      <c r="GX171" s="287"/>
      <c r="GY171" s="287"/>
      <c r="GZ171" s="287"/>
      <c r="HA171" s="287"/>
      <c r="HB171" s="287"/>
      <c r="HC171" s="287"/>
      <c r="HD171" s="287"/>
      <c r="HE171" s="287"/>
      <c r="HF171" s="287"/>
      <c r="HG171" s="287"/>
      <c r="HH171" s="287"/>
      <c r="HI171" s="287"/>
      <c r="HJ171" s="287"/>
      <c r="HK171" s="287"/>
      <c r="HL171" s="287"/>
      <c r="HM171" s="287"/>
      <c r="HN171" s="287"/>
      <c r="HO171" s="287"/>
      <c r="HP171" s="287"/>
      <c r="HQ171" s="287"/>
      <c r="HR171" s="287"/>
      <c r="HS171" s="287"/>
      <c r="HT171" s="287"/>
      <c r="HU171" s="287"/>
      <c r="HV171" s="287"/>
      <c r="HW171" s="287"/>
      <c r="HX171" s="287"/>
      <c r="HY171" s="287"/>
      <c r="HZ171" s="287"/>
      <c r="IA171" s="287"/>
      <c r="IB171" s="287"/>
      <c r="IC171" s="287"/>
      <c r="ID171" s="287"/>
      <c r="IE171" s="287"/>
      <c r="IF171" s="287"/>
      <c r="IG171" s="287"/>
      <c r="IH171" s="287"/>
      <c r="II171" s="287"/>
      <c r="IJ171" s="287"/>
      <c r="IK171" s="287"/>
      <c r="IL171" s="287"/>
      <c r="IM171" s="287"/>
      <c r="IN171" s="287"/>
      <c r="IO171" s="287"/>
      <c r="IP171" s="287"/>
      <c r="IQ171" s="287"/>
      <c r="IR171" s="287"/>
      <c r="IS171" s="287"/>
      <c r="IT171" s="287"/>
      <c r="IU171" s="287"/>
      <c r="IV171" s="287"/>
    </row>
    <row r="172" spans="1:256" s="511" customFormat="1" ht="18" customHeight="1" x14ac:dyDescent="0.2">
      <c r="A172" s="278" t="s">
        <v>487</v>
      </c>
      <c r="B172" s="510" t="s">
        <v>47</v>
      </c>
      <c r="C172" s="843">
        <f>ROUND(C173/C174,2)</f>
        <v>1.69</v>
      </c>
      <c r="D172" s="843">
        <f>ROUND(D173/D174,2)</f>
        <v>2.0299999999999998</v>
      </c>
      <c r="E172" s="843">
        <f>ROUND(E173/E174,2)</f>
        <v>2.12</v>
      </c>
      <c r="F172" s="843">
        <f>ROUND(F173/F174,2)</f>
        <v>2.11</v>
      </c>
      <c r="G172" s="843">
        <f>ROUND(G173/G174,2)</f>
        <v>3.01</v>
      </c>
      <c r="H172" s="1313" t="s">
        <v>1100</v>
      </c>
      <c r="I172" s="726"/>
      <c r="J172" s="726"/>
      <c r="K172" s="726"/>
      <c r="L172" s="726"/>
      <c r="M172" s="726"/>
      <c r="N172" s="726"/>
      <c r="O172" s="726"/>
      <c r="P172" s="726"/>
      <c r="Q172" s="726"/>
      <c r="R172" s="726"/>
      <c r="S172" s="726"/>
      <c r="T172" s="726"/>
      <c r="U172" s="726"/>
      <c r="V172" s="726"/>
      <c r="W172" s="726"/>
      <c r="X172" s="726"/>
      <c r="Y172" s="726"/>
      <c r="Z172" s="726"/>
      <c r="AA172" s="226"/>
      <c r="AB172" s="226"/>
      <c r="AC172" s="226"/>
      <c r="AD172" s="226"/>
      <c r="AE172" s="226"/>
      <c r="AF172" s="226"/>
      <c r="AG172" s="226"/>
      <c r="AH172" s="226"/>
      <c r="AI172" s="226"/>
      <c r="AJ172" s="226"/>
      <c r="AK172" s="226"/>
      <c r="AL172" s="226"/>
      <c r="AM172" s="226"/>
      <c r="AN172" s="226"/>
      <c r="AO172" s="226"/>
      <c r="AP172" s="226"/>
      <c r="AQ172" s="226"/>
      <c r="AR172" s="226"/>
      <c r="AS172" s="226"/>
      <c r="AT172" s="226"/>
      <c r="AU172" s="226"/>
      <c r="AV172" s="226"/>
      <c r="AW172" s="226"/>
      <c r="AX172" s="226"/>
      <c r="AY172" s="226"/>
      <c r="AZ172" s="226"/>
      <c r="BA172" s="226"/>
      <c r="BB172" s="226"/>
      <c r="BC172" s="226"/>
      <c r="BD172" s="226"/>
      <c r="BE172" s="226"/>
      <c r="BF172" s="226"/>
      <c r="BG172" s="226"/>
      <c r="BH172" s="226"/>
      <c r="BI172" s="226"/>
      <c r="BJ172" s="226"/>
      <c r="BK172" s="226"/>
      <c r="BL172" s="226"/>
      <c r="BM172" s="226"/>
      <c r="BN172" s="226"/>
      <c r="BO172" s="226"/>
      <c r="BP172" s="226"/>
      <c r="BQ172" s="226"/>
      <c r="BR172" s="226"/>
      <c r="BS172" s="226"/>
      <c r="BT172" s="226"/>
      <c r="BU172" s="226"/>
      <c r="BV172" s="226"/>
      <c r="BW172" s="226"/>
      <c r="BX172" s="226"/>
      <c r="BY172" s="226"/>
      <c r="BZ172" s="226"/>
      <c r="CA172" s="226"/>
      <c r="CB172" s="226"/>
      <c r="CC172" s="226"/>
      <c r="CD172" s="226"/>
      <c r="CE172" s="226"/>
      <c r="CF172" s="226"/>
      <c r="CG172" s="226"/>
      <c r="CH172" s="226"/>
      <c r="CI172" s="226"/>
      <c r="CJ172" s="226"/>
      <c r="CK172" s="226"/>
      <c r="CL172" s="226"/>
      <c r="CM172" s="226"/>
      <c r="CN172" s="226"/>
      <c r="CO172" s="226"/>
      <c r="CP172" s="226"/>
      <c r="CQ172" s="226"/>
      <c r="CR172" s="226"/>
      <c r="CS172" s="226"/>
      <c r="CT172" s="226"/>
      <c r="CU172" s="226"/>
      <c r="CV172" s="226"/>
      <c r="CW172" s="226"/>
      <c r="CX172" s="226"/>
      <c r="CY172" s="226"/>
      <c r="CZ172" s="226"/>
      <c r="DA172" s="226"/>
      <c r="DB172" s="226"/>
      <c r="DC172" s="226"/>
      <c r="DD172" s="226"/>
      <c r="DE172" s="226"/>
      <c r="DF172" s="226"/>
      <c r="DG172" s="226"/>
      <c r="DH172" s="226"/>
      <c r="DI172" s="226"/>
      <c r="DJ172" s="226"/>
      <c r="DK172" s="226"/>
      <c r="DL172" s="226"/>
      <c r="DM172" s="226"/>
      <c r="DN172" s="226"/>
      <c r="DO172" s="226"/>
      <c r="DP172" s="226"/>
      <c r="DQ172" s="226"/>
      <c r="DR172" s="226"/>
      <c r="DS172" s="226"/>
      <c r="DT172" s="226"/>
      <c r="DU172" s="226"/>
      <c r="DV172" s="226"/>
      <c r="DW172" s="226"/>
      <c r="DX172" s="226"/>
      <c r="DY172" s="226"/>
      <c r="DZ172" s="226"/>
      <c r="EA172" s="226"/>
      <c r="EB172" s="226"/>
      <c r="EC172" s="226"/>
      <c r="ED172" s="226"/>
      <c r="EE172" s="226"/>
      <c r="EF172" s="226"/>
      <c r="EG172" s="226"/>
      <c r="EH172" s="226"/>
      <c r="EI172" s="226"/>
      <c r="EJ172" s="226"/>
      <c r="EK172" s="226"/>
      <c r="EL172" s="226"/>
      <c r="EM172" s="226"/>
      <c r="EN172" s="226"/>
      <c r="EO172" s="226"/>
      <c r="EP172" s="226"/>
      <c r="EQ172" s="226"/>
      <c r="ER172" s="226"/>
      <c r="ES172" s="226"/>
      <c r="ET172" s="226"/>
      <c r="EU172" s="226"/>
      <c r="EV172" s="226"/>
      <c r="EW172" s="226"/>
      <c r="EX172" s="226"/>
      <c r="EY172" s="226"/>
      <c r="EZ172" s="226"/>
      <c r="FA172" s="226"/>
      <c r="FB172" s="226"/>
      <c r="FC172" s="226"/>
      <c r="FD172" s="226"/>
      <c r="FE172" s="226"/>
      <c r="FF172" s="226"/>
      <c r="FG172" s="226"/>
      <c r="FH172" s="226"/>
      <c r="FI172" s="226"/>
      <c r="FJ172" s="226"/>
      <c r="FK172" s="226"/>
      <c r="FL172" s="226"/>
      <c r="FM172" s="226"/>
      <c r="FN172" s="226"/>
      <c r="FO172" s="226"/>
      <c r="FP172" s="226"/>
      <c r="FQ172" s="226"/>
      <c r="FR172" s="226"/>
      <c r="FS172" s="226"/>
      <c r="FT172" s="226"/>
      <c r="FU172" s="226"/>
      <c r="FV172" s="226"/>
      <c r="FW172" s="226"/>
      <c r="FX172" s="226"/>
      <c r="FY172" s="226"/>
      <c r="FZ172" s="226"/>
      <c r="GA172" s="226"/>
      <c r="GB172" s="226"/>
      <c r="GC172" s="226"/>
      <c r="GD172" s="226"/>
      <c r="GE172" s="226"/>
      <c r="GF172" s="226"/>
      <c r="GG172" s="226"/>
      <c r="GH172" s="226"/>
      <c r="GI172" s="226"/>
      <c r="GJ172" s="226"/>
      <c r="GK172" s="226"/>
      <c r="GL172" s="226"/>
      <c r="GM172" s="226"/>
      <c r="GN172" s="226"/>
      <c r="GO172" s="226"/>
      <c r="GP172" s="226"/>
      <c r="GQ172" s="226"/>
      <c r="GR172" s="226"/>
      <c r="GS172" s="226"/>
      <c r="GT172" s="226"/>
      <c r="GU172" s="226"/>
      <c r="GV172" s="226"/>
      <c r="GW172" s="226"/>
      <c r="GX172" s="226"/>
      <c r="GY172" s="226"/>
      <c r="GZ172" s="226"/>
      <c r="HA172" s="226"/>
      <c r="HB172" s="226"/>
      <c r="HC172" s="226"/>
      <c r="HD172" s="226"/>
      <c r="HE172" s="226"/>
      <c r="HF172" s="226"/>
      <c r="HG172" s="226"/>
      <c r="HH172" s="226"/>
      <c r="HI172" s="226"/>
      <c r="HJ172" s="226"/>
      <c r="HK172" s="226"/>
      <c r="HL172" s="226"/>
      <c r="HM172" s="226"/>
      <c r="HN172" s="226"/>
      <c r="HO172" s="226"/>
      <c r="HP172" s="226"/>
      <c r="HQ172" s="226"/>
      <c r="HR172" s="226"/>
      <c r="HS172" s="226"/>
      <c r="HT172" s="226"/>
      <c r="HU172" s="226"/>
      <c r="HV172" s="226"/>
      <c r="HW172" s="226"/>
      <c r="HX172" s="226"/>
      <c r="HY172" s="226"/>
      <c r="HZ172" s="226"/>
      <c r="IA172" s="226"/>
      <c r="IB172" s="226"/>
      <c r="IC172" s="226"/>
      <c r="ID172" s="226"/>
      <c r="IE172" s="226"/>
      <c r="IF172" s="226"/>
      <c r="IG172" s="226"/>
      <c r="IH172" s="226"/>
      <c r="II172" s="226"/>
      <c r="IJ172" s="226"/>
      <c r="IK172" s="226"/>
      <c r="IL172" s="226"/>
      <c r="IM172" s="226"/>
      <c r="IN172" s="226"/>
      <c r="IO172" s="226"/>
      <c r="IP172" s="226"/>
      <c r="IQ172" s="226"/>
      <c r="IR172" s="226"/>
      <c r="IS172" s="226"/>
      <c r="IT172" s="226"/>
      <c r="IU172" s="226"/>
      <c r="IV172" s="226"/>
    </row>
    <row r="173" spans="1:256" s="346" customFormat="1" ht="16.5" customHeight="1" x14ac:dyDescent="0.2">
      <c r="A173" s="32" t="s">
        <v>510</v>
      </c>
      <c r="B173" s="92" t="s">
        <v>47</v>
      </c>
      <c r="C173" s="381">
        <f>C55</f>
        <v>3370</v>
      </c>
      <c r="D173" s="381">
        <f>D55</f>
        <v>3920</v>
      </c>
      <c r="E173" s="381">
        <f>E55</f>
        <v>4230</v>
      </c>
      <c r="F173" s="381">
        <f>F55</f>
        <v>4760</v>
      </c>
      <c r="G173" s="381">
        <f>G55</f>
        <v>4990</v>
      </c>
      <c r="H173" s="1314"/>
      <c r="I173" s="718"/>
      <c r="J173" s="718"/>
      <c r="K173" s="718"/>
      <c r="L173" s="718"/>
      <c r="M173" s="718"/>
      <c r="N173" s="718"/>
      <c r="O173" s="718"/>
      <c r="P173" s="718"/>
      <c r="Q173" s="718"/>
      <c r="R173" s="718"/>
      <c r="S173" s="718"/>
      <c r="T173" s="718"/>
      <c r="U173" s="718"/>
      <c r="V173" s="718"/>
      <c r="W173" s="718"/>
      <c r="X173" s="718"/>
      <c r="Y173" s="718"/>
      <c r="Z173" s="718"/>
      <c r="AA173" s="96"/>
      <c r="AB173" s="96"/>
      <c r="AC173" s="96"/>
      <c r="AD173" s="96"/>
      <c r="AE173" s="96"/>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c r="BN173" s="96"/>
      <c r="BO173" s="96"/>
      <c r="BP173" s="96"/>
      <c r="BQ173" s="96"/>
      <c r="BR173" s="96"/>
      <c r="BS173" s="96"/>
      <c r="BT173" s="96"/>
      <c r="BU173" s="96"/>
      <c r="BV173" s="96"/>
      <c r="BW173" s="96"/>
      <c r="BX173" s="96"/>
      <c r="BY173" s="96"/>
      <c r="BZ173" s="96"/>
      <c r="CA173" s="96"/>
      <c r="CB173" s="96"/>
      <c r="CC173" s="96"/>
      <c r="CD173" s="96"/>
      <c r="CE173" s="96"/>
      <c r="CF173" s="96"/>
      <c r="CG173" s="96"/>
      <c r="CH173" s="96"/>
      <c r="CI173" s="96"/>
      <c r="CJ173" s="96"/>
      <c r="CK173" s="96"/>
      <c r="CL173" s="96"/>
      <c r="CM173" s="96"/>
      <c r="CN173" s="96"/>
      <c r="CO173" s="96"/>
      <c r="CP173" s="96"/>
      <c r="CQ173" s="96"/>
      <c r="CR173" s="96"/>
      <c r="CS173" s="96"/>
      <c r="CT173" s="96"/>
      <c r="CU173" s="96"/>
      <c r="CV173" s="96"/>
      <c r="CW173" s="96"/>
      <c r="CX173" s="96"/>
      <c r="CY173" s="96"/>
      <c r="CZ173" s="96"/>
      <c r="DA173" s="96"/>
      <c r="DB173" s="96"/>
      <c r="DC173" s="96"/>
      <c r="DD173" s="96"/>
      <c r="DE173" s="96"/>
      <c r="DF173" s="96"/>
      <c r="DG173" s="96"/>
      <c r="DH173" s="96"/>
      <c r="DI173" s="96"/>
      <c r="DJ173" s="96"/>
      <c r="DK173" s="96"/>
      <c r="DL173" s="96"/>
      <c r="DM173" s="96"/>
      <c r="DN173" s="96"/>
      <c r="DO173" s="96"/>
      <c r="DP173" s="96"/>
      <c r="DQ173" s="96"/>
      <c r="DR173" s="96"/>
      <c r="DS173" s="96"/>
      <c r="DT173" s="96"/>
      <c r="DU173" s="96"/>
      <c r="DV173" s="96"/>
      <c r="DW173" s="96"/>
      <c r="DX173" s="96"/>
      <c r="DY173" s="96"/>
      <c r="DZ173" s="96"/>
      <c r="EA173" s="96"/>
      <c r="EB173" s="96"/>
      <c r="EC173" s="96"/>
      <c r="ED173" s="96"/>
      <c r="EE173" s="96"/>
      <c r="EF173" s="96"/>
      <c r="EG173" s="96"/>
      <c r="EH173" s="96"/>
      <c r="EI173" s="96"/>
      <c r="EJ173" s="96"/>
      <c r="EK173" s="96"/>
      <c r="EL173" s="96"/>
      <c r="EM173" s="96"/>
      <c r="EN173" s="96"/>
      <c r="EO173" s="96"/>
      <c r="EP173" s="96"/>
      <c r="EQ173" s="96"/>
      <c r="ER173" s="96"/>
      <c r="ES173" s="96"/>
      <c r="ET173" s="96"/>
      <c r="EU173" s="96"/>
      <c r="EV173" s="96"/>
      <c r="EW173" s="96"/>
      <c r="EX173" s="96"/>
      <c r="EY173" s="96"/>
      <c r="EZ173" s="96"/>
      <c r="FA173" s="96"/>
      <c r="FB173" s="96"/>
      <c r="FC173" s="96"/>
      <c r="FD173" s="96"/>
      <c r="FE173" s="96"/>
      <c r="FF173" s="96"/>
      <c r="FG173" s="96"/>
      <c r="FH173" s="96"/>
      <c r="FI173" s="96"/>
      <c r="FJ173" s="96"/>
      <c r="FK173" s="96"/>
      <c r="FL173" s="96"/>
      <c r="FM173" s="96"/>
      <c r="FN173" s="96"/>
      <c r="FO173" s="96"/>
      <c r="FP173" s="96"/>
      <c r="FQ173" s="96"/>
      <c r="FR173" s="96"/>
      <c r="FS173" s="96"/>
      <c r="FT173" s="96"/>
      <c r="FU173" s="96"/>
      <c r="FV173" s="96"/>
      <c r="FW173" s="96"/>
      <c r="FX173" s="96"/>
      <c r="FY173" s="96"/>
      <c r="FZ173" s="96"/>
      <c r="GA173" s="96"/>
      <c r="GB173" s="96"/>
      <c r="GC173" s="96"/>
      <c r="GD173" s="96"/>
      <c r="GE173" s="96"/>
      <c r="GF173" s="96"/>
      <c r="GG173" s="96"/>
      <c r="GH173" s="96"/>
      <c r="GI173" s="96"/>
      <c r="GJ173" s="96"/>
      <c r="GK173" s="96"/>
      <c r="GL173" s="96"/>
      <c r="GM173" s="96"/>
      <c r="GN173" s="96"/>
      <c r="GO173" s="96"/>
      <c r="GP173" s="96"/>
      <c r="GQ173" s="96"/>
      <c r="GR173" s="96"/>
      <c r="GS173" s="96"/>
      <c r="GT173" s="96"/>
      <c r="GU173" s="96"/>
      <c r="GV173" s="96"/>
      <c r="GW173" s="96"/>
      <c r="GX173" s="96"/>
      <c r="GY173" s="96"/>
      <c r="GZ173" s="96"/>
      <c r="HA173" s="96"/>
      <c r="HB173" s="96"/>
      <c r="HC173" s="96"/>
      <c r="HD173" s="96"/>
      <c r="HE173" s="96"/>
      <c r="HF173" s="96"/>
      <c r="HG173" s="96"/>
      <c r="HH173" s="96"/>
      <c r="HI173" s="96"/>
      <c r="HJ173" s="96"/>
      <c r="HK173" s="96"/>
      <c r="HL173" s="96"/>
      <c r="HM173" s="96"/>
      <c r="HN173" s="96"/>
      <c r="HO173" s="96"/>
      <c r="HP173" s="96"/>
      <c r="HQ173" s="96"/>
      <c r="HR173" s="96"/>
      <c r="HS173" s="96"/>
      <c r="HT173" s="96"/>
      <c r="HU173" s="96"/>
      <c r="HV173" s="96"/>
      <c r="HW173" s="96"/>
      <c r="HX173" s="96"/>
      <c r="HY173" s="96"/>
      <c r="HZ173" s="96"/>
      <c r="IA173" s="96"/>
      <c r="IB173" s="96"/>
      <c r="IC173" s="96"/>
      <c r="ID173" s="96"/>
      <c r="IE173" s="96"/>
      <c r="IF173" s="96"/>
      <c r="IG173" s="96"/>
      <c r="IH173" s="96"/>
      <c r="II173" s="96"/>
      <c r="IJ173" s="96"/>
      <c r="IK173" s="96"/>
      <c r="IL173" s="96"/>
      <c r="IM173" s="96"/>
      <c r="IN173" s="96"/>
      <c r="IO173" s="96"/>
      <c r="IP173" s="96"/>
      <c r="IQ173" s="96"/>
      <c r="IR173" s="96"/>
      <c r="IS173" s="96"/>
      <c r="IT173" s="96"/>
      <c r="IU173" s="96"/>
      <c r="IV173" s="96"/>
    </row>
    <row r="174" spans="1:256" s="346" customFormat="1" ht="16.5" customHeight="1" x14ac:dyDescent="0.2">
      <c r="A174" s="32" t="s">
        <v>511</v>
      </c>
      <c r="B174" s="92" t="s">
        <v>47</v>
      </c>
      <c r="C174" s="32">
        <f>C69</f>
        <v>1990</v>
      </c>
      <c r="D174" s="32">
        <f>D69</f>
        <v>1930</v>
      </c>
      <c r="E174" s="32">
        <f>E69</f>
        <v>2000</v>
      </c>
      <c r="F174" s="32">
        <f>F69</f>
        <v>2260</v>
      </c>
      <c r="G174" s="32">
        <f>G69</f>
        <v>1660</v>
      </c>
      <c r="H174" s="1315"/>
      <c r="I174" s="718"/>
      <c r="J174" s="718"/>
      <c r="K174" s="718"/>
      <c r="L174" s="718"/>
      <c r="M174" s="718"/>
      <c r="N174" s="718"/>
      <c r="O174" s="718"/>
      <c r="P174" s="718"/>
      <c r="Q174" s="718"/>
      <c r="R174" s="718"/>
      <c r="S174" s="718"/>
      <c r="T174" s="718"/>
      <c r="U174" s="718"/>
      <c r="V174" s="718"/>
      <c r="W174" s="718"/>
      <c r="X174" s="718"/>
      <c r="Y174" s="718"/>
      <c r="Z174" s="718"/>
      <c r="AA174" s="96"/>
      <c r="AB174" s="96"/>
      <c r="AC174" s="96"/>
      <c r="AD174" s="96"/>
      <c r="AE174" s="96"/>
      <c r="AF174" s="96"/>
      <c r="AG174" s="96"/>
      <c r="AH174" s="96"/>
      <c r="AI174" s="96"/>
      <c r="AJ174" s="96"/>
      <c r="AK174" s="96"/>
      <c r="AL174" s="96"/>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c r="BN174" s="96"/>
      <c r="BO174" s="96"/>
      <c r="BP174" s="96"/>
      <c r="BQ174" s="96"/>
      <c r="BR174" s="96"/>
      <c r="BS174" s="96"/>
      <c r="BT174" s="96"/>
      <c r="BU174" s="96"/>
      <c r="BV174" s="96"/>
      <c r="BW174" s="96"/>
      <c r="BX174" s="96"/>
      <c r="BY174" s="96"/>
      <c r="BZ174" s="96"/>
      <c r="CA174" s="96"/>
      <c r="CB174" s="96"/>
      <c r="CC174" s="96"/>
      <c r="CD174" s="96"/>
      <c r="CE174" s="96"/>
      <c r="CF174" s="96"/>
      <c r="CG174" s="96"/>
      <c r="CH174" s="96"/>
      <c r="CI174" s="96"/>
      <c r="CJ174" s="96"/>
      <c r="CK174" s="96"/>
      <c r="CL174" s="96"/>
      <c r="CM174" s="96"/>
      <c r="CN174" s="96"/>
      <c r="CO174" s="96"/>
      <c r="CP174" s="96"/>
      <c r="CQ174" s="96"/>
      <c r="CR174" s="96"/>
      <c r="CS174" s="96"/>
      <c r="CT174" s="96"/>
      <c r="CU174" s="96"/>
      <c r="CV174" s="96"/>
      <c r="CW174" s="96"/>
      <c r="CX174" s="96"/>
      <c r="CY174" s="96"/>
      <c r="CZ174" s="96"/>
      <c r="DA174" s="96"/>
      <c r="DB174" s="96"/>
      <c r="DC174" s="96"/>
      <c r="DD174" s="96"/>
      <c r="DE174" s="96"/>
      <c r="DF174" s="96"/>
      <c r="DG174" s="96"/>
      <c r="DH174" s="96"/>
      <c r="DI174" s="96"/>
      <c r="DJ174" s="96"/>
      <c r="DK174" s="96"/>
      <c r="DL174" s="96"/>
      <c r="DM174" s="96"/>
      <c r="DN174" s="96"/>
      <c r="DO174" s="96"/>
      <c r="DP174" s="96"/>
      <c r="DQ174" s="96"/>
      <c r="DR174" s="96"/>
      <c r="DS174" s="96"/>
      <c r="DT174" s="96"/>
      <c r="DU174" s="96"/>
      <c r="DV174" s="96"/>
      <c r="DW174" s="96"/>
      <c r="DX174" s="96"/>
      <c r="DY174" s="96"/>
      <c r="DZ174" s="96"/>
      <c r="EA174" s="96"/>
      <c r="EB174" s="96"/>
      <c r="EC174" s="96"/>
      <c r="ED174" s="96"/>
      <c r="EE174" s="96"/>
      <c r="EF174" s="96"/>
      <c r="EG174" s="96"/>
      <c r="EH174" s="96"/>
      <c r="EI174" s="96"/>
      <c r="EJ174" s="96"/>
      <c r="EK174" s="96"/>
      <c r="EL174" s="96"/>
      <c r="EM174" s="96"/>
      <c r="EN174" s="96"/>
      <c r="EO174" s="96"/>
      <c r="EP174" s="96"/>
      <c r="EQ174" s="96"/>
      <c r="ER174" s="96"/>
      <c r="ES174" s="96"/>
      <c r="ET174" s="96"/>
      <c r="EU174" s="96"/>
      <c r="EV174" s="96"/>
      <c r="EW174" s="96"/>
      <c r="EX174" s="96"/>
      <c r="EY174" s="96"/>
      <c r="EZ174" s="96"/>
      <c r="FA174" s="96"/>
      <c r="FB174" s="96"/>
      <c r="FC174" s="96"/>
      <c r="FD174" s="96"/>
      <c r="FE174" s="96"/>
      <c r="FF174" s="96"/>
      <c r="FG174" s="96"/>
      <c r="FH174" s="96"/>
      <c r="FI174" s="96"/>
      <c r="FJ174" s="96"/>
      <c r="FK174" s="96"/>
      <c r="FL174" s="96"/>
      <c r="FM174" s="96"/>
      <c r="FN174" s="96"/>
      <c r="FO174" s="96"/>
      <c r="FP174" s="96"/>
      <c r="FQ174" s="96"/>
      <c r="FR174" s="96"/>
      <c r="FS174" s="96"/>
      <c r="FT174" s="96"/>
      <c r="FU174" s="96"/>
      <c r="FV174" s="96"/>
      <c r="FW174" s="96"/>
      <c r="FX174" s="96"/>
      <c r="FY174" s="96"/>
      <c r="FZ174" s="96"/>
      <c r="GA174" s="96"/>
      <c r="GB174" s="96"/>
      <c r="GC174" s="96"/>
      <c r="GD174" s="96"/>
      <c r="GE174" s="96"/>
      <c r="GF174" s="96"/>
      <c r="GG174" s="96"/>
      <c r="GH174" s="96"/>
      <c r="GI174" s="96"/>
      <c r="GJ174" s="96"/>
      <c r="GK174" s="96"/>
      <c r="GL174" s="96"/>
      <c r="GM174" s="96"/>
      <c r="GN174" s="96"/>
      <c r="GO174" s="96"/>
      <c r="GP174" s="96"/>
      <c r="GQ174" s="96"/>
      <c r="GR174" s="96"/>
      <c r="GS174" s="96"/>
      <c r="GT174" s="96"/>
      <c r="GU174" s="96"/>
      <c r="GV174" s="96"/>
      <c r="GW174" s="96"/>
      <c r="GX174" s="96"/>
      <c r="GY174" s="96"/>
      <c r="GZ174" s="96"/>
      <c r="HA174" s="96"/>
      <c r="HB174" s="96"/>
      <c r="HC174" s="96"/>
      <c r="HD174" s="96"/>
      <c r="HE174" s="96"/>
      <c r="HF174" s="96"/>
      <c r="HG174" s="96"/>
      <c r="HH174" s="96"/>
      <c r="HI174" s="96"/>
      <c r="HJ174" s="96"/>
      <c r="HK174" s="96"/>
      <c r="HL174" s="96"/>
      <c r="HM174" s="96"/>
      <c r="HN174" s="96"/>
      <c r="HO174" s="96"/>
      <c r="HP174" s="96"/>
      <c r="HQ174" s="96"/>
      <c r="HR174" s="96"/>
      <c r="HS174" s="96"/>
      <c r="HT174" s="96"/>
      <c r="HU174" s="96"/>
      <c r="HV174" s="96"/>
      <c r="HW174" s="96"/>
      <c r="HX174" s="96"/>
      <c r="HY174" s="96"/>
      <c r="HZ174" s="96"/>
      <c r="IA174" s="96"/>
      <c r="IB174" s="96"/>
      <c r="IC174" s="96"/>
      <c r="ID174" s="96"/>
      <c r="IE174" s="96"/>
      <c r="IF174" s="96"/>
      <c r="IG174" s="96"/>
      <c r="IH174" s="96"/>
      <c r="II174" s="96"/>
      <c r="IJ174" s="96"/>
      <c r="IK174" s="96"/>
      <c r="IL174" s="96"/>
      <c r="IM174" s="96"/>
      <c r="IN174" s="96"/>
      <c r="IO174" s="96"/>
      <c r="IP174" s="96"/>
      <c r="IQ174" s="96"/>
      <c r="IR174" s="96"/>
      <c r="IS174" s="96"/>
      <c r="IT174" s="96"/>
      <c r="IU174" s="96"/>
      <c r="IV174" s="96"/>
    </row>
    <row r="175" spans="1:256" s="506" customFormat="1" ht="18" customHeight="1" x14ac:dyDescent="0.2">
      <c r="A175" s="272" t="s">
        <v>1065</v>
      </c>
      <c r="B175" s="90" t="s">
        <v>47</v>
      </c>
      <c r="C175" s="94">
        <f>ROUND(C176/C177,3)</f>
        <v>3.3000000000000002E-2</v>
      </c>
      <c r="D175" s="94">
        <f>ROUND(D176/D177,3)</f>
        <v>3.3000000000000002E-2</v>
      </c>
      <c r="E175" s="94">
        <f>ROUND(E176/E177,3)</f>
        <v>3.5000000000000003E-2</v>
      </c>
      <c r="F175" s="94">
        <f>ROUND(F176/F177,3)</f>
        <v>0.03</v>
      </c>
      <c r="G175" s="94">
        <f>ROUND(G176/G177,3)</f>
        <v>0.03</v>
      </c>
      <c r="H175" s="1313" t="s">
        <v>1100</v>
      </c>
      <c r="I175" s="718"/>
      <c r="J175" s="718"/>
      <c r="K175" s="718"/>
      <c r="L175" s="718"/>
      <c r="M175" s="718"/>
      <c r="N175" s="718"/>
      <c r="O175" s="718"/>
      <c r="P175" s="718"/>
      <c r="Q175" s="718"/>
      <c r="R175" s="718"/>
      <c r="S175" s="718"/>
      <c r="T175" s="718"/>
      <c r="U175" s="718"/>
      <c r="V175" s="718"/>
      <c r="W175" s="718"/>
      <c r="X175" s="718"/>
      <c r="Y175" s="718"/>
      <c r="Z175" s="718"/>
      <c r="AA175" s="96"/>
      <c r="AB175" s="96"/>
      <c r="AC175" s="96"/>
      <c r="AD175" s="96"/>
      <c r="AE175" s="96"/>
      <c r="AF175" s="96"/>
      <c r="AG175" s="96"/>
      <c r="AH175" s="96"/>
      <c r="AI175" s="96"/>
      <c r="AJ175" s="96"/>
      <c r="AK175" s="96"/>
      <c r="AL175" s="96"/>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c r="BN175" s="96"/>
      <c r="BO175" s="96"/>
      <c r="BP175" s="96"/>
      <c r="BQ175" s="96"/>
      <c r="BR175" s="96"/>
      <c r="BS175" s="96"/>
      <c r="BT175" s="96"/>
      <c r="BU175" s="96"/>
      <c r="BV175" s="96"/>
      <c r="BW175" s="96"/>
      <c r="BX175" s="96"/>
      <c r="BY175" s="96"/>
      <c r="BZ175" s="96"/>
      <c r="CA175" s="96"/>
      <c r="CB175" s="96"/>
      <c r="CC175" s="96"/>
      <c r="CD175" s="96"/>
      <c r="CE175" s="96"/>
      <c r="CF175" s="96"/>
      <c r="CG175" s="96"/>
      <c r="CH175" s="96"/>
      <c r="CI175" s="96"/>
      <c r="CJ175" s="96"/>
      <c r="CK175" s="96"/>
      <c r="CL175" s="96"/>
      <c r="CM175" s="96"/>
      <c r="CN175" s="96"/>
      <c r="CO175" s="96"/>
      <c r="CP175" s="96"/>
      <c r="CQ175" s="96"/>
      <c r="CR175" s="96"/>
      <c r="CS175" s="96"/>
      <c r="CT175" s="96"/>
      <c r="CU175" s="96"/>
      <c r="CV175" s="96"/>
      <c r="CW175" s="96"/>
      <c r="CX175" s="96"/>
      <c r="CY175" s="96"/>
      <c r="CZ175" s="96"/>
      <c r="DA175" s="96"/>
      <c r="DB175" s="96"/>
      <c r="DC175" s="96"/>
      <c r="DD175" s="96"/>
      <c r="DE175" s="96"/>
      <c r="DF175" s="96"/>
      <c r="DG175" s="96"/>
      <c r="DH175" s="96"/>
      <c r="DI175" s="96"/>
      <c r="DJ175" s="96"/>
      <c r="DK175" s="96"/>
      <c r="DL175" s="96"/>
      <c r="DM175" s="96"/>
      <c r="DN175" s="96"/>
      <c r="DO175" s="96"/>
      <c r="DP175" s="96"/>
      <c r="DQ175" s="96"/>
      <c r="DR175" s="96"/>
      <c r="DS175" s="96"/>
      <c r="DT175" s="96"/>
      <c r="DU175" s="96"/>
      <c r="DV175" s="96"/>
      <c r="DW175" s="96"/>
      <c r="DX175" s="96"/>
      <c r="DY175" s="96"/>
      <c r="DZ175" s="96"/>
      <c r="EA175" s="96"/>
      <c r="EB175" s="96"/>
      <c r="EC175" s="96"/>
      <c r="ED175" s="96"/>
      <c r="EE175" s="96"/>
      <c r="EF175" s="96"/>
      <c r="EG175" s="96"/>
      <c r="EH175" s="96"/>
      <c r="EI175" s="96"/>
      <c r="EJ175" s="96"/>
      <c r="EK175" s="96"/>
      <c r="EL175" s="96"/>
      <c r="EM175" s="96"/>
      <c r="EN175" s="96"/>
      <c r="EO175" s="96"/>
      <c r="EP175" s="96"/>
      <c r="EQ175" s="96"/>
      <c r="ER175" s="96"/>
      <c r="ES175" s="96"/>
      <c r="ET175" s="96"/>
      <c r="EU175" s="96"/>
      <c r="EV175" s="96"/>
      <c r="EW175" s="96"/>
      <c r="EX175" s="96"/>
      <c r="EY175" s="96"/>
      <c r="EZ175" s="96"/>
      <c r="FA175" s="96"/>
      <c r="FB175" s="96"/>
      <c r="FC175" s="96"/>
      <c r="FD175" s="96"/>
      <c r="FE175" s="96"/>
      <c r="FF175" s="96"/>
      <c r="FG175" s="96"/>
      <c r="FH175" s="96"/>
      <c r="FI175" s="96"/>
      <c r="FJ175" s="96"/>
      <c r="FK175" s="96"/>
      <c r="FL175" s="96"/>
      <c r="FM175" s="96"/>
      <c r="FN175" s="96"/>
      <c r="FO175" s="96"/>
      <c r="FP175" s="96"/>
      <c r="FQ175" s="96"/>
      <c r="FR175" s="96"/>
      <c r="FS175" s="96"/>
      <c r="FT175" s="96"/>
      <c r="FU175" s="96"/>
      <c r="FV175" s="96"/>
      <c r="FW175" s="96"/>
      <c r="FX175" s="96"/>
      <c r="FY175" s="96"/>
      <c r="FZ175" s="96"/>
      <c r="GA175" s="96"/>
      <c r="GB175" s="96"/>
      <c r="GC175" s="96"/>
      <c r="GD175" s="96"/>
      <c r="GE175" s="96"/>
      <c r="GF175" s="96"/>
      <c r="GG175" s="96"/>
      <c r="GH175" s="96"/>
      <c r="GI175" s="96"/>
      <c r="GJ175" s="96"/>
      <c r="GK175" s="96"/>
      <c r="GL175" s="96"/>
      <c r="GM175" s="96"/>
      <c r="GN175" s="96"/>
      <c r="GO175" s="96"/>
      <c r="GP175" s="96"/>
      <c r="GQ175" s="96"/>
      <c r="GR175" s="96"/>
      <c r="GS175" s="96"/>
      <c r="GT175" s="96"/>
      <c r="GU175" s="96"/>
      <c r="GV175" s="96"/>
      <c r="GW175" s="96"/>
      <c r="GX175" s="96"/>
      <c r="GY175" s="96"/>
      <c r="GZ175" s="96"/>
      <c r="HA175" s="96"/>
      <c r="HB175" s="96"/>
      <c r="HC175" s="96"/>
      <c r="HD175" s="96"/>
      <c r="HE175" s="96"/>
      <c r="HF175" s="96"/>
      <c r="HG175" s="96"/>
      <c r="HH175" s="96"/>
      <c r="HI175" s="96"/>
      <c r="HJ175" s="96"/>
      <c r="HK175" s="96"/>
      <c r="HL175" s="96"/>
      <c r="HM175" s="96"/>
      <c r="HN175" s="96"/>
      <c r="HO175" s="96"/>
      <c r="HP175" s="96"/>
      <c r="HQ175" s="96"/>
      <c r="HR175" s="96"/>
      <c r="HS175" s="96"/>
      <c r="HT175" s="96"/>
      <c r="HU175" s="96"/>
      <c r="HV175" s="96"/>
      <c r="HW175" s="96"/>
      <c r="HX175" s="96"/>
      <c r="HY175" s="96"/>
      <c r="HZ175" s="96"/>
      <c r="IA175" s="96"/>
      <c r="IB175" s="96"/>
      <c r="IC175" s="96"/>
      <c r="ID175" s="96"/>
      <c r="IE175" s="96"/>
      <c r="IF175" s="96"/>
      <c r="IG175" s="96"/>
      <c r="IH175" s="96"/>
      <c r="II175" s="96"/>
      <c r="IJ175" s="96"/>
      <c r="IK175" s="96"/>
      <c r="IL175" s="96"/>
      <c r="IM175" s="96"/>
      <c r="IN175" s="96"/>
      <c r="IO175" s="96"/>
      <c r="IP175" s="96"/>
      <c r="IQ175" s="96"/>
      <c r="IR175" s="96"/>
      <c r="IS175" s="96"/>
      <c r="IT175" s="96"/>
      <c r="IU175" s="96"/>
      <c r="IV175" s="96"/>
    </row>
    <row r="176" spans="1:256" s="346" customFormat="1" ht="16.5" customHeight="1" x14ac:dyDescent="0.2">
      <c r="A176" s="32" t="s">
        <v>88</v>
      </c>
      <c r="B176" s="92" t="s">
        <v>47</v>
      </c>
      <c r="C176" s="381">
        <f>C127</f>
        <v>109.93618960802188</v>
      </c>
      <c r="D176" s="381">
        <f>D127</f>
        <v>129.75022624434391</v>
      </c>
      <c r="E176" s="381">
        <f>E127</f>
        <v>146.8923076923077</v>
      </c>
      <c r="F176" s="381">
        <f>F127</f>
        <v>140.96761904761905</v>
      </c>
      <c r="G176" s="381">
        <f>G127</f>
        <v>147.52000000000001</v>
      </c>
      <c r="H176" s="1314"/>
      <c r="I176" s="718"/>
      <c r="J176" s="718"/>
      <c r="K176" s="718"/>
      <c r="L176" s="718"/>
      <c r="M176" s="718"/>
      <c r="N176" s="718"/>
      <c r="O176" s="718"/>
      <c r="P176" s="718"/>
      <c r="Q176" s="718"/>
      <c r="R176" s="718"/>
      <c r="S176" s="718"/>
      <c r="T176" s="718"/>
      <c r="U176" s="718"/>
      <c r="V176" s="718"/>
      <c r="W176" s="718"/>
      <c r="X176" s="718"/>
      <c r="Y176" s="718"/>
      <c r="Z176" s="718"/>
      <c r="AA176" s="96"/>
      <c r="AB176" s="96"/>
      <c r="AC176" s="96"/>
      <c r="AD176" s="96"/>
      <c r="AE176" s="96"/>
      <c r="AF176" s="96"/>
      <c r="AG176" s="96"/>
      <c r="AH176" s="96"/>
      <c r="AI176" s="96"/>
      <c r="AJ176" s="96"/>
      <c r="AK176" s="96"/>
      <c r="AL176" s="96"/>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c r="BN176" s="96"/>
      <c r="BO176" s="96"/>
      <c r="BP176" s="96"/>
      <c r="BQ176" s="96"/>
      <c r="BR176" s="96"/>
      <c r="BS176" s="96"/>
      <c r="BT176" s="96"/>
      <c r="BU176" s="96"/>
      <c r="BV176" s="96"/>
      <c r="BW176" s="96"/>
      <c r="BX176" s="96"/>
      <c r="BY176" s="96"/>
      <c r="BZ176" s="96"/>
      <c r="CA176" s="96"/>
      <c r="CB176" s="96"/>
      <c r="CC176" s="96"/>
      <c r="CD176" s="96"/>
      <c r="CE176" s="96"/>
      <c r="CF176" s="96"/>
      <c r="CG176" s="96"/>
      <c r="CH176" s="96"/>
      <c r="CI176" s="96"/>
      <c r="CJ176" s="96"/>
      <c r="CK176" s="96"/>
      <c r="CL176" s="96"/>
      <c r="CM176" s="96"/>
      <c r="CN176" s="96"/>
      <c r="CO176" s="96"/>
      <c r="CP176" s="96"/>
      <c r="CQ176" s="96"/>
      <c r="CR176" s="96"/>
      <c r="CS176" s="96"/>
      <c r="CT176" s="96"/>
      <c r="CU176" s="96"/>
      <c r="CV176" s="96"/>
      <c r="CW176" s="96"/>
      <c r="CX176" s="96"/>
      <c r="CY176" s="96"/>
      <c r="CZ176" s="96"/>
      <c r="DA176" s="96"/>
      <c r="DB176" s="96"/>
      <c r="DC176" s="96"/>
      <c r="DD176" s="96"/>
      <c r="DE176" s="96"/>
      <c r="DF176" s="96"/>
      <c r="DG176" s="96"/>
      <c r="DH176" s="96"/>
      <c r="DI176" s="96"/>
      <c r="DJ176" s="96"/>
      <c r="DK176" s="96"/>
      <c r="DL176" s="96"/>
      <c r="DM176" s="96"/>
      <c r="DN176" s="96"/>
      <c r="DO176" s="96"/>
      <c r="DP176" s="96"/>
      <c r="DQ176" s="96"/>
      <c r="DR176" s="96"/>
      <c r="DS176" s="96"/>
      <c r="DT176" s="96"/>
      <c r="DU176" s="96"/>
      <c r="DV176" s="96"/>
      <c r="DW176" s="96"/>
      <c r="DX176" s="96"/>
      <c r="DY176" s="96"/>
      <c r="DZ176" s="96"/>
      <c r="EA176" s="96"/>
      <c r="EB176" s="96"/>
      <c r="EC176" s="96"/>
      <c r="ED176" s="96"/>
      <c r="EE176" s="96"/>
      <c r="EF176" s="96"/>
      <c r="EG176" s="96"/>
      <c r="EH176" s="96"/>
      <c r="EI176" s="96"/>
      <c r="EJ176" s="96"/>
      <c r="EK176" s="96"/>
      <c r="EL176" s="96"/>
      <c r="EM176" s="96"/>
      <c r="EN176" s="96"/>
      <c r="EO176" s="96"/>
      <c r="EP176" s="96"/>
      <c r="EQ176" s="96"/>
      <c r="ER176" s="96"/>
      <c r="ES176" s="96"/>
      <c r="ET176" s="96"/>
      <c r="EU176" s="96"/>
      <c r="EV176" s="96"/>
      <c r="EW176" s="96"/>
      <c r="EX176" s="96"/>
      <c r="EY176" s="96"/>
      <c r="EZ176" s="96"/>
      <c r="FA176" s="96"/>
      <c r="FB176" s="96"/>
      <c r="FC176" s="96"/>
      <c r="FD176" s="96"/>
      <c r="FE176" s="96"/>
      <c r="FF176" s="96"/>
      <c r="FG176" s="96"/>
      <c r="FH176" s="96"/>
      <c r="FI176" s="96"/>
      <c r="FJ176" s="96"/>
      <c r="FK176" s="96"/>
      <c r="FL176" s="96"/>
      <c r="FM176" s="96"/>
      <c r="FN176" s="96"/>
      <c r="FO176" s="96"/>
      <c r="FP176" s="96"/>
      <c r="FQ176" s="96"/>
      <c r="FR176" s="96"/>
      <c r="FS176" s="96"/>
      <c r="FT176" s="96"/>
      <c r="FU176" s="96"/>
      <c r="FV176" s="96"/>
      <c r="FW176" s="96"/>
      <c r="FX176" s="96"/>
      <c r="FY176" s="96"/>
      <c r="FZ176" s="96"/>
      <c r="GA176" s="96"/>
      <c r="GB176" s="96"/>
      <c r="GC176" s="96"/>
      <c r="GD176" s="96"/>
      <c r="GE176" s="96"/>
      <c r="GF176" s="96"/>
      <c r="GG176" s="96"/>
      <c r="GH176" s="96"/>
      <c r="GI176" s="96"/>
      <c r="GJ176" s="96"/>
      <c r="GK176" s="96"/>
      <c r="GL176" s="96"/>
      <c r="GM176" s="96"/>
      <c r="GN176" s="96"/>
      <c r="GO176" s="96"/>
      <c r="GP176" s="96"/>
      <c r="GQ176" s="96"/>
      <c r="GR176" s="96"/>
      <c r="GS176" s="96"/>
      <c r="GT176" s="96"/>
      <c r="GU176" s="96"/>
      <c r="GV176" s="96"/>
      <c r="GW176" s="96"/>
      <c r="GX176" s="96"/>
      <c r="GY176" s="96"/>
      <c r="GZ176" s="96"/>
      <c r="HA176" s="96"/>
      <c r="HB176" s="96"/>
      <c r="HC176" s="96"/>
      <c r="HD176" s="96"/>
      <c r="HE176" s="96"/>
      <c r="HF176" s="96"/>
      <c r="HG176" s="96"/>
      <c r="HH176" s="96"/>
      <c r="HI176" s="96"/>
      <c r="HJ176" s="96"/>
      <c r="HK176" s="96"/>
      <c r="HL176" s="96"/>
      <c r="HM176" s="96"/>
      <c r="HN176" s="96"/>
      <c r="HO176" s="96"/>
      <c r="HP176" s="96"/>
      <c r="HQ176" s="96"/>
      <c r="HR176" s="96"/>
      <c r="HS176" s="96"/>
      <c r="HT176" s="96"/>
      <c r="HU176" s="96"/>
      <c r="HV176" s="96"/>
      <c r="HW176" s="96"/>
      <c r="HX176" s="96"/>
      <c r="HY176" s="96"/>
      <c r="HZ176" s="96"/>
      <c r="IA176" s="96"/>
      <c r="IB176" s="96"/>
      <c r="IC176" s="96"/>
      <c r="ID176" s="96"/>
      <c r="IE176" s="96"/>
      <c r="IF176" s="96"/>
      <c r="IG176" s="96"/>
      <c r="IH176" s="96"/>
      <c r="II176" s="96"/>
      <c r="IJ176" s="96"/>
      <c r="IK176" s="96"/>
      <c r="IL176" s="96"/>
      <c r="IM176" s="96"/>
      <c r="IN176" s="96"/>
      <c r="IO176" s="96"/>
      <c r="IP176" s="96"/>
      <c r="IQ176" s="96"/>
      <c r="IR176" s="96"/>
      <c r="IS176" s="96"/>
      <c r="IT176" s="96"/>
      <c r="IU176" s="96"/>
      <c r="IV176" s="96"/>
    </row>
    <row r="177" spans="1:256" s="495" customFormat="1" ht="16.5" customHeight="1" x14ac:dyDescent="0.2">
      <c r="A177" s="75" t="s">
        <v>549</v>
      </c>
      <c r="B177" s="277" t="s">
        <v>47</v>
      </c>
      <c r="C177" s="75">
        <f>C55</f>
        <v>3370</v>
      </c>
      <c r="D177" s="75">
        <f>D55</f>
        <v>3920</v>
      </c>
      <c r="E177" s="75">
        <f>E55</f>
        <v>4230</v>
      </c>
      <c r="F177" s="75">
        <f>F55</f>
        <v>4760</v>
      </c>
      <c r="G177" s="75">
        <f>G55</f>
        <v>4990</v>
      </c>
      <c r="H177" s="1315"/>
      <c r="I177" s="725"/>
      <c r="J177" s="725"/>
      <c r="K177" s="725"/>
      <c r="L177" s="725"/>
      <c r="M177" s="725"/>
      <c r="N177" s="725"/>
      <c r="O177" s="725"/>
      <c r="P177" s="725"/>
      <c r="Q177" s="725"/>
      <c r="R177" s="725"/>
      <c r="S177" s="725"/>
      <c r="T177" s="725"/>
      <c r="U177" s="725"/>
      <c r="V177" s="725"/>
      <c r="W177" s="725"/>
      <c r="X177" s="725"/>
      <c r="Y177" s="725"/>
      <c r="Z177" s="725"/>
      <c r="AA177" s="149"/>
      <c r="AB177" s="149"/>
      <c r="AC177" s="149"/>
      <c r="AD177" s="149"/>
      <c r="AE177" s="149"/>
      <c r="AF177" s="149"/>
      <c r="AG177" s="149"/>
      <c r="AH177" s="149"/>
      <c r="AI177" s="149"/>
      <c r="AJ177" s="149"/>
      <c r="AK177" s="149"/>
      <c r="AL177" s="149"/>
      <c r="AM177" s="149"/>
      <c r="AN177" s="149"/>
      <c r="AO177" s="149"/>
      <c r="AP177" s="149"/>
      <c r="AQ177" s="149"/>
      <c r="AR177" s="149"/>
      <c r="AS177" s="149"/>
      <c r="AT177" s="149"/>
      <c r="AU177" s="149"/>
      <c r="AV177" s="149"/>
      <c r="AW177" s="149"/>
      <c r="AX177" s="149"/>
      <c r="AY177" s="149"/>
      <c r="AZ177" s="149"/>
      <c r="BA177" s="149"/>
      <c r="BB177" s="149"/>
      <c r="BC177" s="149"/>
      <c r="BD177" s="149"/>
      <c r="BE177" s="149"/>
      <c r="BF177" s="149"/>
      <c r="BG177" s="149"/>
      <c r="BH177" s="149"/>
      <c r="BI177" s="149"/>
      <c r="BJ177" s="149"/>
      <c r="BK177" s="149"/>
      <c r="BL177" s="149"/>
      <c r="BM177" s="149"/>
      <c r="BN177" s="149"/>
      <c r="BO177" s="149"/>
      <c r="BP177" s="149"/>
      <c r="BQ177" s="149"/>
      <c r="BR177" s="149"/>
      <c r="BS177" s="149"/>
      <c r="BT177" s="149"/>
      <c r="BU177" s="149"/>
      <c r="BV177" s="149"/>
      <c r="BW177" s="149"/>
      <c r="BX177" s="149"/>
      <c r="BY177" s="149"/>
      <c r="BZ177" s="149"/>
      <c r="CA177" s="149"/>
      <c r="CB177" s="149"/>
      <c r="CC177" s="149"/>
      <c r="CD177" s="149"/>
      <c r="CE177" s="149"/>
      <c r="CF177" s="149"/>
      <c r="CG177" s="149"/>
      <c r="CH177" s="149"/>
      <c r="CI177" s="149"/>
      <c r="CJ177" s="149"/>
      <c r="CK177" s="149"/>
      <c r="CL177" s="149"/>
      <c r="CM177" s="149"/>
      <c r="CN177" s="149"/>
      <c r="CO177" s="149"/>
      <c r="CP177" s="149"/>
      <c r="CQ177" s="149"/>
      <c r="CR177" s="149"/>
      <c r="CS177" s="149"/>
      <c r="CT177" s="149"/>
      <c r="CU177" s="149"/>
      <c r="CV177" s="149"/>
      <c r="CW177" s="149"/>
      <c r="CX177" s="149"/>
      <c r="CY177" s="149"/>
      <c r="CZ177" s="149"/>
      <c r="DA177" s="149"/>
      <c r="DB177" s="149"/>
      <c r="DC177" s="149"/>
      <c r="DD177" s="149"/>
      <c r="DE177" s="149"/>
      <c r="DF177" s="149"/>
      <c r="DG177" s="149"/>
      <c r="DH177" s="149"/>
      <c r="DI177" s="149"/>
      <c r="DJ177" s="149"/>
      <c r="DK177" s="149"/>
      <c r="DL177" s="149"/>
      <c r="DM177" s="149"/>
      <c r="DN177" s="149"/>
      <c r="DO177" s="149"/>
      <c r="DP177" s="149"/>
      <c r="DQ177" s="149"/>
      <c r="DR177" s="149"/>
      <c r="DS177" s="149"/>
      <c r="DT177" s="149"/>
      <c r="DU177" s="149"/>
      <c r="DV177" s="149"/>
      <c r="DW177" s="149"/>
      <c r="DX177" s="149"/>
      <c r="DY177" s="149"/>
      <c r="DZ177" s="149"/>
      <c r="EA177" s="149"/>
      <c r="EB177" s="149"/>
      <c r="EC177" s="149"/>
      <c r="ED177" s="149"/>
      <c r="EE177" s="149"/>
      <c r="EF177" s="149"/>
      <c r="EG177" s="149"/>
      <c r="EH177" s="149"/>
      <c r="EI177" s="149"/>
      <c r="EJ177" s="149"/>
      <c r="EK177" s="149"/>
      <c r="EL177" s="149"/>
      <c r="EM177" s="149"/>
      <c r="EN177" s="149"/>
      <c r="EO177" s="149"/>
      <c r="EP177" s="149"/>
      <c r="EQ177" s="149"/>
      <c r="ER177" s="149"/>
      <c r="ES177" s="149"/>
      <c r="ET177" s="149"/>
      <c r="EU177" s="149"/>
      <c r="EV177" s="149"/>
      <c r="EW177" s="149"/>
      <c r="EX177" s="149"/>
      <c r="EY177" s="149"/>
      <c r="EZ177" s="149"/>
      <c r="FA177" s="149"/>
      <c r="FB177" s="149"/>
      <c r="FC177" s="149"/>
      <c r="FD177" s="149"/>
      <c r="FE177" s="149"/>
      <c r="FF177" s="149"/>
      <c r="FG177" s="149"/>
      <c r="FH177" s="149"/>
      <c r="FI177" s="149"/>
      <c r="FJ177" s="149"/>
      <c r="FK177" s="149"/>
      <c r="FL177" s="149"/>
      <c r="FM177" s="149"/>
      <c r="FN177" s="149"/>
      <c r="FO177" s="149"/>
      <c r="FP177" s="149"/>
      <c r="FQ177" s="149"/>
      <c r="FR177" s="149"/>
      <c r="FS177" s="149"/>
      <c r="FT177" s="149"/>
      <c r="FU177" s="149"/>
      <c r="FV177" s="149"/>
      <c r="FW177" s="149"/>
      <c r="FX177" s="149"/>
      <c r="FY177" s="149"/>
      <c r="FZ177" s="149"/>
      <c r="GA177" s="149"/>
      <c r="GB177" s="149"/>
      <c r="GC177" s="149"/>
      <c r="GD177" s="149"/>
      <c r="GE177" s="149"/>
      <c r="GF177" s="149"/>
      <c r="GG177" s="149"/>
      <c r="GH177" s="149"/>
      <c r="GI177" s="149"/>
      <c r="GJ177" s="149"/>
      <c r="GK177" s="149"/>
      <c r="GL177" s="149"/>
      <c r="GM177" s="149"/>
      <c r="GN177" s="149"/>
      <c r="GO177" s="149"/>
      <c r="GP177" s="149"/>
      <c r="GQ177" s="149"/>
      <c r="GR177" s="149"/>
      <c r="GS177" s="149"/>
      <c r="GT177" s="149"/>
      <c r="GU177" s="149"/>
      <c r="GV177" s="149"/>
      <c r="GW177" s="149"/>
      <c r="GX177" s="149"/>
      <c r="GY177" s="149"/>
      <c r="GZ177" s="149"/>
      <c r="HA177" s="149"/>
      <c r="HB177" s="149"/>
      <c r="HC177" s="149"/>
      <c r="HD177" s="149"/>
      <c r="HE177" s="149"/>
      <c r="HF177" s="149"/>
      <c r="HG177" s="149"/>
      <c r="HH177" s="149"/>
      <c r="HI177" s="149"/>
      <c r="HJ177" s="149"/>
      <c r="HK177" s="149"/>
      <c r="HL177" s="149"/>
      <c r="HM177" s="149"/>
      <c r="HN177" s="149"/>
      <c r="HO177" s="149"/>
      <c r="HP177" s="149"/>
      <c r="HQ177" s="149"/>
      <c r="HR177" s="149"/>
      <c r="HS177" s="149"/>
      <c r="HT177" s="149"/>
      <c r="HU177" s="149"/>
      <c r="HV177" s="149"/>
      <c r="HW177" s="149"/>
      <c r="HX177" s="149"/>
      <c r="HY177" s="149"/>
      <c r="HZ177" s="149"/>
      <c r="IA177" s="149"/>
      <c r="IB177" s="149"/>
      <c r="IC177" s="149"/>
      <c r="ID177" s="149"/>
      <c r="IE177" s="149"/>
      <c r="IF177" s="149"/>
      <c r="IG177" s="149"/>
      <c r="IH177" s="149"/>
      <c r="II177" s="149"/>
      <c r="IJ177" s="149"/>
      <c r="IK177" s="149"/>
      <c r="IL177" s="149"/>
      <c r="IM177" s="149"/>
      <c r="IN177" s="149"/>
      <c r="IO177" s="149"/>
      <c r="IP177" s="149"/>
      <c r="IQ177" s="149"/>
      <c r="IR177" s="149"/>
      <c r="IS177" s="149"/>
      <c r="IT177" s="149"/>
      <c r="IU177" s="149"/>
      <c r="IV177" s="149"/>
    </row>
    <row r="178" spans="1:256" s="428" customFormat="1" ht="18" customHeight="1" x14ac:dyDescent="0.2">
      <c r="A178" s="546" t="s">
        <v>1066</v>
      </c>
      <c r="B178" s="288"/>
      <c r="C178" s="287"/>
      <c r="D178" s="287"/>
      <c r="E178" s="287"/>
      <c r="F178" s="287"/>
      <c r="G178" s="287"/>
      <c r="H178" s="287"/>
      <c r="I178" s="1059"/>
      <c r="J178" s="1059"/>
      <c r="K178" s="1059"/>
      <c r="L178" s="1059"/>
      <c r="M178" s="1059"/>
      <c r="N178" s="1059"/>
      <c r="O178" s="1059"/>
      <c r="P178" s="1059"/>
      <c r="Q178" s="1059"/>
      <c r="R178" s="1059"/>
      <c r="S178" s="1059"/>
      <c r="T178" s="1059"/>
      <c r="U178" s="1059"/>
      <c r="V178" s="1059"/>
      <c r="W178" s="1059"/>
      <c r="X178" s="1059"/>
      <c r="Y178" s="1059"/>
      <c r="Z178" s="1059"/>
      <c r="AA178" s="287"/>
      <c r="AB178" s="287"/>
      <c r="AC178" s="287"/>
      <c r="AD178" s="287"/>
      <c r="AE178" s="287"/>
      <c r="AF178" s="287"/>
      <c r="AG178" s="287"/>
      <c r="AH178" s="287"/>
      <c r="AI178" s="287"/>
      <c r="AJ178" s="287"/>
      <c r="AK178" s="287"/>
      <c r="AL178" s="287"/>
      <c r="AM178" s="287"/>
      <c r="AN178" s="287"/>
      <c r="AO178" s="287"/>
      <c r="AP178" s="287"/>
      <c r="AQ178" s="287"/>
      <c r="AR178" s="287"/>
      <c r="AS178" s="287"/>
      <c r="AT178" s="287"/>
      <c r="AU178" s="287"/>
      <c r="AV178" s="287"/>
      <c r="AW178" s="287"/>
      <c r="AX178" s="287"/>
      <c r="AY178" s="287"/>
      <c r="AZ178" s="287"/>
      <c r="BA178" s="287"/>
      <c r="BB178" s="287"/>
      <c r="BC178" s="287"/>
      <c r="BD178" s="287"/>
      <c r="BE178" s="287"/>
      <c r="BF178" s="287"/>
      <c r="BG178" s="287"/>
      <c r="BH178" s="287"/>
      <c r="BI178" s="287"/>
      <c r="BJ178" s="287"/>
      <c r="BK178" s="287"/>
      <c r="BL178" s="287"/>
      <c r="BM178" s="287"/>
      <c r="BN178" s="287"/>
      <c r="BO178" s="287"/>
      <c r="BP178" s="287"/>
      <c r="BQ178" s="287"/>
      <c r="BR178" s="287"/>
      <c r="BS178" s="287"/>
      <c r="BT178" s="287"/>
      <c r="BU178" s="287"/>
      <c r="BV178" s="287"/>
      <c r="BW178" s="287"/>
      <c r="BX178" s="287"/>
      <c r="BY178" s="287"/>
      <c r="BZ178" s="287"/>
      <c r="CA178" s="287"/>
      <c r="CB178" s="287"/>
      <c r="CC178" s="287"/>
      <c r="CD178" s="287"/>
      <c r="CE178" s="287"/>
      <c r="CF178" s="287"/>
      <c r="CG178" s="287"/>
      <c r="CH178" s="287"/>
      <c r="CI178" s="287"/>
      <c r="CJ178" s="287"/>
      <c r="CK178" s="287"/>
      <c r="CL178" s="287"/>
      <c r="CM178" s="287"/>
      <c r="CN178" s="287"/>
      <c r="CO178" s="287"/>
      <c r="CP178" s="287"/>
      <c r="CQ178" s="287"/>
      <c r="CR178" s="287"/>
      <c r="CS178" s="287"/>
      <c r="CT178" s="287"/>
      <c r="CU178" s="287"/>
      <c r="CV178" s="287"/>
      <c r="CW178" s="287"/>
      <c r="CX178" s="287"/>
      <c r="CY178" s="287"/>
      <c r="CZ178" s="287"/>
      <c r="DA178" s="287"/>
      <c r="DB178" s="287"/>
      <c r="DC178" s="287"/>
      <c r="DD178" s="287"/>
      <c r="DE178" s="287"/>
      <c r="DF178" s="287"/>
      <c r="DG178" s="287"/>
      <c r="DH178" s="287"/>
      <c r="DI178" s="287"/>
      <c r="DJ178" s="287"/>
      <c r="DK178" s="287"/>
      <c r="DL178" s="287"/>
      <c r="DM178" s="287"/>
      <c r="DN178" s="287"/>
      <c r="DO178" s="287"/>
      <c r="DP178" s="287"/>
      <c r="DQ178" s="287"/>
      <c r="DR178" s="287"/>
      <c r="DS178" s="287"/>
      <c r="DT178" s="287"/>
      <c r="DU178" s="287"/>
      <c r="DV178" s="287"/>
      <c r="DW178" s="287"/>
      <c r="DX178" s="287"/>
      <c r="DY178" s="287"/>
      <c r="DZ178" s="287"/>
      <c r="EA178" s="287"/>
      <c r="EB178" s="287"/>
      <c r="EC178" s="287"/>
      <c r="ED178" s="287"/>
      <c r="EE178" s="287"/>
      <c r="EF178" s="287"/>
      <c r="EG178" s="287"/>
      <c r="EH178" s="287"/>
      <c r="EI178" s="287"/>
      <c r="EJ178" s="287"/>
      <c r="EK178" s="287"/>
      <c r="EL178" s="287"/>
      <c r="EM178" s="287"/>
      <c r="EN178" s="287"/>
      <c r="EO178" s="287"/>
      <c r="EP178" s="287"/>
      <c r="EQ178" s="287"/>
      <c r="ER178" s="287"/>
      <c r="ES178" s="287"/>
      <c r="ET178" s="287"/>
      <c r="EU178" s="287"/>
      <c r="EV178" s="287"/>
      <c r="EW178" s="287"/>
      <c r="EX178" s="287"/>
      <c r="EY178" s="287"/>
      <c r="EZ178" s="287"/>
      <c r="FA178" s="287"/>
      <c r="FB178" s="287"/>
      <c r="FC178" s="287"/>
      <c r="FD178" s="287"/>
      <c r="FE178" s="287"/>
      <c r="FF178" s="287"/>
      <c r="FG178" s="287"/>
      <c r="FH178" s="287"/>
      <c r="FI178" s="287"/>
      <c r="FJ178" s="287"/>
      <c r="FK178" s="287"/>
      <c r="FL178" s="287"/>
      <c r="FM178" s="287"/>
      <c r="FN178" s="287"/>
      <c r="FO178" s="287"/>
      <c r="FP178" s="287"/>
      <c r="FQ178" s="287"/>
      <c r="FR178" s="287"/>
      <c r="FS178" s="287"/>
      <c r="FT178" s="287"/>
      <c r="FU178" s="287"/>
      <c r="FV178" s="287"/>
      <c r="FW178" s="287"/>
      <c r="FX178" s="287"/>
      <c r="FY178" s="287"/>
      <c r="FZ178" s="287"/>
      <c r="GA178" s="287"/>
      <c r="GB178" s="287"/>
      <c r="GC178" s="287"/>
      <c r="GD178" s="287"/>
      <c r="GE178" s="287"/>
      <c r="GF178" s="287"/>
      <c r="GG178" s="287"/>
      <c r="GH178" s="287"/>
      <c r="GI178" s="287"/>
      <c r="GJ178" s="287"/>
      <c r="GK178" s="287"/>
      <c r="GL178" s="287"/>
      <c r="GM178" s="287"/>
      <c r="GN178" s="287"/>
      <c r="GO178" s="287"/>
      <c r="GP178" s="287"/>
      <c r="GQ178" s="287"/>
      <c r="GR178" s="287"/>
      <c r="GS178" s="287"/>
      <c r="GT178" s="287"/>
      <c r="GU178" s="287"/>
      <c r="GV178" s="287"/>
      <c r="GW178" s="287"/>
      <c r="GX178" s="287"/>
      <c r="GY178" s="287"/>
      <c r="GZ178" s="287"/>
      <c r="HA178" s="287"/>
      <c r="HB178" s="287"/>
      <c r="HC178" s="287"/>
      <c r="HD178" s="287"/>
      <c r="HE178" s="287"/>
      <c r="HF178" s="287"/>
      <c r="HG178" s="287"/>
      <c r="HH178" s="287"/>
      <c r="HI178" s="287"/>
      <c r="HJ178" s="287"/>
      <c r="HK178" s="287"/>
      <c r="HL178" s="287"/>
      <c r="HM178" s="287"/>
      <c r="HN178" s="287"/>
      <c r="HO178" s="287"/>
      <c r="HP178" s="287"/>
      <c r="HQ178" s="287"/>
      <c r="HR178" s="287"/>
      <c r="HS178" s="287"/>
      <c r="HT178" s="287"/>
      <c r="HU178" s="287"/>
      <c r="HV178" s="287"/>
      <c r="HW178" s="287"/>
      <c r="HX178" s="287"/>
      <c r="HY178" s="287"/>
      <c r="HZ178" s="287"/>
      <c r="IA178" s="287"/>
      <c r="IB178" s="287"/>
      <c r="IC178" s="287"/>
      <c r="ID178" s="287"/>
      <c r="IE178" s="287"/>
      <c r="IF178" s="287"/>
      <c r="IG178" s="287"/>
      <c r="IH178" s="287"/>
      <c r="II178" s="287"/>
      <c r="IJ178" s="287"/>
      <c r="IK178" s="287"/>
      <c r="IL178" s="287"/>
      <c r="IM178" s="287"/>
      <c r="IN178" s="287"/>
      <c r="IO178" s="287"/>
      <c r="IP178" s="287"/>
      <c r="IQ178" s="287"/>
      <c r="IR178" s="287"/>
      <c r="IS178" s="287"/>
      <c r="IT178" s="287"/>
      <c r="IU178" s="287"/>
      <c r="IV178" s="287"/>
    </row>
    <row r="179" spans="1:256" s="251" customFormat="1" ht="18" customHeight="1" x14ac:dyDescent="0.2">
      <c r="A179" s="278" t="s">
        <v>557</v>
      </c>
      <c r="B179" s="510" t="s">
        <v>47</v>
      </c>
      <c r="C179" s="281">
        <f>ROUND(C136+C172*(C136-C175),3)</f>
        <v>0.33700000000000002</v>
      </c>
      <c r="D179" s="281">
        <f>ROUND(D136+D172*(D136-D175),3)</f>
        <v>0.35399999999999998</v>
      </c>
      <c r="E179" s="281">
        <f>ROUND(E136+E172*(E136-E175),3)</f>
        <v>0.34100000000000003</v>
      </c>
      <c r="F179" s="281">
        <f>ROUND(F136+F172*(F136-F175),3)</f>
        <v>0.28199999999999997</v>
      </c>
      <c r="G179" s="281">
        <f>ROUND(G136+G172*(G136-G175),3)</f>
        <v>0.27900000000000003</v>
      </c>
      <c r="H179" s="1347" t="s">
        <v>1101</v>
      </c>
      <c r="I179" s="726"/>
      <c r="J179" s="726"/>
      <c r="K179" s="726"/>
      <c r="L179" s="726"/>
      <c r="M179" s="726"/>
      <c r="N179" s="726"/>
      <c r="O179" s="726"/>
      <c r="P179" s="726"/>
      <c r="Q179" s="726"/>
      <c r="R179" s="726"/>
      <c r="S179" s="726"/>
      <c r="T179" s="726"/>
      <c r="U179" s="726"/>
      <c r="V179" s="726"/>
      <c r="W179" s="726"/>
      <c r="X179" s="726"/>
      <c r="Y179" s="726"/>
      <c r="Z179" s="726"/>
      <c r="AA179" s="226"/>
      <c r="AB179" s="226"/>
      <c r="AC179" s="226"/>
      <c r="AD179" s="226"/>
      <c r="AE179" s="226"/>
      <c r="AF179" s="226"/>
      <c r="AG179" s="226"/>
      <c r="AH179" s="226"/>
      <c r="AI179" s="226"/>
      <c r="AJ179" s="226"/>
      <c r="AK179" s="226"/>
      <c r="AL179" s="226"/>
      <c r="AM179" s="226"/>
      <c r="AN179" s="226"/>
      <c r="AO179" s="226"/>
      <c r="AP179" s="226"/>
      <c r="AQ179" s="226"/>
      <c r="AR179" s="226"/>
      <c r="AS179" s="226"/>
      <c r="AT179" s="226"/>
      <c r="AU179" s="226"/>
      <c r="AV179" s="226"/>
      <c r="AW179" s="226"/>
      <c r="AX179" s="226"/>
      <c r="AY179" s="226"/>
      <c r="AZ179" s="226"/>
      <c r="BA179" s="226"/>
      <c r="BB179" s="226"/>
      <c r="BC179" s="226"/>
      <c r="BD179" s="226"/>
      <c r="BE179" s="226"/>
      <c r="BF179" s="226"/>
      <c r="BG179" s="226"/>
      <c r="BH179" s="226"/>
      <c r="BI179" s="226"/>
      <c r="BJ179" s="226"/>
      <c r="BK179" s="226"/>
      <c r="BL179" s="226"/>
      <c r="BM179" s="226"/>
      <c r="BN179" s="226"/>
      <c r="BO179" s="226"/>
      <c r="BP179" s="226"/>
      <c r="BQ179" s="226"/>
      <c r="BR179" s="226"/>
      <c r="BS179" s="226"/>
      <c r="BT179" s="226"/>
      <c r="BU179" s="226"/>
      <c r="BV179" s="226"/>
      <c r="BW179" s="226"/>
      <c r="BX179" s="226"/>
      <c r="BY179" s="226"/>
      <c r="BZ179" s="226"/>
      <c r="CA179" s="226"/>
      <c r="CB179" s="226"/>
      <c r="CC179" s="226"/>
      <c r="CD179" s="226"/>
      <c r="CE179" s="226"/>
      <c r="CF179" s="226"/>
      <c r="CG179" s="226"/>
      <c r="CH179" s="226"/>
      <c r="CI179" s="226"/>
      <c r="CJ179" s="226"/>
      <c r="CK179" s="226"/>
      <c r="CL179" s="226"/>
      <c r="CM179" s="226"/>
      <c r="CN179" s="226"/>
      <c r="CO179" s="226"/>
      <c r="CP179" s="226"/>
      <c r="CQ179" s="226"/>
      <c r="CR179" s="226"/>
      <c r="CS179" s="226"/>
      <c r="CT179" s="226"/>
      <c r="CU179" s="226"/>
      <c r="CV179" s="226"/>
      <c r="CW179" s="226"/>
      <c r="CX179" s="226"/>
      <c r="CY179" s="226"/>
      <c r="CZ179" s="226"/>
      <c r="DA179" s="226"/>
      <c r="DB179" s="226"/>
      <c r="DC179" s="226"/>
      <c r="DD179" s="226"/>
      <c r="DE179" s="226"/>
      <c r="DF179" s="226"/>
      <c r="DG179" s="226"/>
      <c r="DH179" s="226"/>
      <c r="DI179" s="226"/>
      <c r="DJ179" s="226"/>
      <c r="DK179" s="226"/>
      <c r="DL179" s="226"/>
      <c r="DM179" s="226"/>
      <c r="DN179" s="226"/>
      <c r="DO179" s="226"/>
      <c r="DP179" s="226"/>
      <c r="DQ179" s="226"/>
      <c r="DR179" s="226"/>
      <c r="DS179" s="226"/>
      <c r="DT179" s="226"/>
      <c r="DU179" s="226"/>
      <c r="DV179" s="226"/>
      <c r="DW179" s="226"/>
      <c r="DX179" s="226"/>
      <c r="DY179" s="226"/>
      <c r="DZ179" s="226"/>
      <c r="EA179" s="226"/>
      <c r="EB179" s="226"/>
      <c r="EC179" s="226"/>
      <c r="ED179" s="226"/>
      <c r="EE179" s="226"/>
      <c r="EF179" s="226"/>
      <c r="EG179" s="226"/>
      <c r="EH179" s="226"/>
      <c r="EI179" s="226"/>
      <c r="EJ179" s="226"/>
      <c r="EK179" s="226"/>
      <c r="EL179" s="226"/>
      <c r="EM179" s="226"/>
      <c r="EN179" s="226"/>
      <c r="EO179" s="226"/>
      <c r="EP179" s="226"/>
      <c r="EQ179" s="226"/>
      <c r="ER179" s="226"/>
      <c r="ES179" s="226"/>
      <c r="ET179" s="226"/>
      <c r="EU179" s="226"/>
      <c r="EV179" s="226"/>
      <c r="EW179" s="226"/>
      <c r="EX179" s="226"/>
      <c r="EY179" s="226"/>
      <c r="EZ179" s="226"/>
      <c r="FA179" s="226"/>
      <c r="FB179" s="226"/>
      <c r="FC179" s="226"/>
      <c r="FD179" s="226"/>
      <c r="FE179" s="226"/>
      <c r="FF179" s="226"/>
      <c r="FG179" s="226"/>
      <c r="FH179" s="226"/>
      <c r="FI179" s="226"/>
      <c r="FJ179" s="226"/>
      <c r="FK179" s="226"/>
      <c r="FL179" s="226"/>
      <c r="FM179" s="226"/>
      <c r="FN179" s="226"/>
      <c r="FO179" s="226"/>
      <c r="FP179" s="226"/>
      <c r="FQ179" s="226"/>
      <c r="FR179" s="226"/>
      <c r="FS179" s="226"/>
      <c r="FT179" s="226"/>
      <c r="FU179" s="226"/>
      <c r="FV179" s="226"/>
      <c r="FW179" s="226"/>
      <c r="FX179" s="226"/>
      <c r="FY179" s="226"/>
      <c r="FZ179" s="226"/>
      <c r="GA179" s="226"/>
      <c r="GB179" s="226"/>
      <c r="GC179" s="226"/>
      <c r="GD179" s="226"/>
      <c r="GE179" s="226"/>
      <c r="GF179" s="226"/>
      <c r="GG179" s="226"/>
      <c r="GH179" s="226"/>
      <c r="GI179" s="226"/>
      <c r="GJ179" s="226"/>
      <c r="GK179" s="226"/>
      <c r="GL179" s="226"/>
      <c r="GM179" s="226"/>
      <c r="GN179" s="226"/>
      <c r="GO179" s="226"/>
      <c r="GP179" s="226"/>
      <c r="GQ179" s="226"/>
      <c r="GR179" s="226"/>
      <c r="GS179" s="226"/>
      <c r="GT179" s="226"/>
      <c r="GU179" s="226"/>
      <c r="GV179" s="226"/>
      <c r="GW179" s="226"/>
      <c r="GX179" s="226"/>
      <c r="GY179" s="226"/>
      <c r="GZ179" s="226"/>
      <c r="HA179" s="226"/>
      <c r="HB179" s="226"/>
      <c r="HC179" s="226"/>
      <c r="HD179" s="226"/>
      <c r="HE179" s="226"/>
      <c r="HF179" s="226"/>
      <c r="HG179" s="226"/>
      <c r="HH179" s="226"/>
      <c r="HI179" s="226"/>
      <c r="HJ179" s="226"/>
      <c r="HK179" s="226"/>
      <c r="HL179" s="226"/>
      <c r="HM179" s="226"/>
      <c r="HN179" s="226"/>
      <c r="HO179" s="226"/>
      <c r="HP179" s="226"/>
      <c r="HQ179" s="226"/>
      <c r="HR179" s="226"/>
      <c r="HS179" s="226"/>
      <c r="HT179" s="226"/>
      <c r="HU179" s="226"/>
      <c r="HV179" s="226"/>
      <c r="HW179" s="226"/>
      <c r="HX179" s="226"/>
      <c r="HY179" s="226"/>
      <c r="HZ179" s="226"/>
      <c r="IA179" s="226"/>
      <c r="IB179" s="226"/>
      <c r="IC179" s="226"/>
      <c r="ID179" s="226"/>
      <c r="IE179" s="226"/>
      <c r="IF179" s="226"/>
      <c r="IG179" s="226"/>
      <c r="IH179" s="226"/>
      <c r="II179" s="226"/>
      <c r="IJ179" s="226"/>
      <c r="IK179" s="226"/>
      <c r="IL179" s="226"/>
      <c r="IM179" s="226"/>
      <c r="IN179" s="226"/>
      <c r="IO179" s="226"/>
      <c r="IP179" s="226"/>
      <c r="IQ179" s="226"/>
      <c r="IR179" s="226"/>
      <c r="IS179" s="226"/>
      <c r="IT179" s="226"/>
      <c r="IU179" s="226"/>
      <c r="IV179" s="226"/>
    </row>
    <row r="180" spans="1:256" s="224" customFormat="1" ht="16.5" customHeight="1" x14ac:dyDescent="0.2">
      <c r="A180" s="32" t="s">
        <v>203</v>
      </c>
      <c r="B180" s="507" t="s">
        <v>47</v>
      </c>
      <c r="C180" s="508">
        <f>C136</f>
        <v>0.14599999999999999</v>
      </c>
      <c r="D180" s="508">
        <f>D136</f>
        <v>0.13900000000000001</v>
      </c>
      <c r="E180" s="508">
        <f>E136</f>
        <v>0.13300000000000001</v>
      </c>
      <c r="F180" s="508">
        <f>F136</f>
        <v>0.111</v>
      </c>
      <c r="G180" s="508">
        <f>G136</f>
        <v>9.1999999999999998E-2</v>
      </c>
      <c r="H180" s="1348"/>
      <c r="I180" s="718"/>
      <c r="J180" s="718"/>
      <c r="K180" s="718"/>
      <c r="L180" s="718"/>
      <c r="M180" s="718"/>
      <c r="N180" s="718"/>
      <c r="O180" s="718"/>
      <c r="P180" s="718"/>
      <c r="Q180" s="718"/>
      <c r="R180" s="718"/>
      <c r="S180" s="718"/>
      <c r="T180" s="718"/>
      <c r="U180" s="718"/>
      <c r="V180" s="718"/>
      <c r="W180" s="718"/>
      <c r="X180" s="718"/>
      <c r="Y180" s="718"/>
      <c r="Z180" s="718"/>
      <c r="AA180" s="96"/>
      <c r="AB180" s="96"/>
      <c r="AC180" s="96"/>
      <c r="AD180" s="96"/>
      <c r="AE180" s="96"/>
      <c r="AF180" s="96"/>
      <c r="AG180" s="96"/>
      <c r="AH180" s="96"/>
      <c r="AI180" s="96"/>
      <c r="AJ180" s="96"/>
      <c r="AK180" s="96"/>
      <c r="AL180" s="96"/>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c r="BN180" s="96"/>
      <c r="BO180" s="96"/>
      <c r="BP180" s="96"/>
      <c r="BQ180" s="96"/>
      <c r="BR180" s="96"/>
      <c r="BS180" s="96"/>
      <c r="BT180" s="96"/>
      <c r="BU180" s="96"/>
      <c r="BV180" s="96"/>
      <c r="BW180" s="96"/>
      <c r="BX180" s="96"/>
      <c r="BY180" s="96"/>
      <c r="BZ180" s="96"/>
      <c r="CA180" s="96"/>
      <c r="CB180" s="96"/>
      <c r="CC180" s="96"/>
      <c r="CD180" s="96"/>
      <c r="CE180" s="96"/>
      <c r="CF180" s="96"/>
      <c r="CG180" s="96"/>
      <c r="CH180" s="96"/>
      <c r="CI180" s="96"/>
      <c r="CJ180" s="96"/>
      <c r="CK180" s="96"/>
      <c r="CL180" s="96"/>
      <c r="CM180" s="96"/>
      <c r="CN180" s="96"/>
      <c r="CO180" s="96"/>
      <c r="CP180" s="96"/>
      <c r="CQ180" s="96"/>
      <c r="CR180" s="96"/>
      <c r="CS180" s="96"/>
      <c r="CT180" s="96"/>
      <c r="CU180" s="96"/>
      <c r="CV180" s="96"/>
      <c r="CW180" s="96"/>
      <c r="CX180" s="96"/>
      <c r="CY180" s="96"/>
      <c r="CZ180" s="96"/>
      <c r="DA180" s="96"/>
      <c r="DB180" s="96"/>
      <c r="DC180" s="96"/>
      <c r="DD180" s="96"/>
      <c r="DE180" s="96"/>
      <c r="DF180" s="96"/>
      <c r="DG180" s="96"/>
      <c r="DH180" s="96"/>
      <c r="DI180" s="96"/>
      <c r="DJ180" s="96"/>
      <c r="DK180" s="96"/>
      <c r="DL180" s="96"/>
      <c r="DM180" s="96"/>
      <c r="DN180" s="96"/>
      <c r="DO180" s="96"/>
      <c r="DP180" s="96"/>
      <c r="DQ180" s="96"/>
      <c r="DR180" s="96"/>
      <c r="DS180" s="96"/>
      <c r="DT180" s="96"/>
      <c r="DU180" s="96"/>
      <c r="DV180" s="96"/>
      <c r="DW180" s="96"/>
      <c r="DX180" s="96"/>
      <c r="DY180" s="96"/>
      <c r="DZ180" s="96"/>
      <c r="EA180" s="96"/>
      <c r="EB180" s="96"/>
      <c r="EC180" s="96"/>
      <c r="ED180" s="96"/>
      <c r="EE180" s="96"/>
      <c r="EF180" s="96"/>
      <c r="EG180" s="96"/>
      <c r="EH180" s="96"/>
      <c r="EI180" s="96"/>
      <c r="EJ180" s="96"/>
      <c r="EK180" s="96"/>
      <c r="EL180" s="96"/>
      <c r="EM180" s="96"/>
      <c r="EN180" s="96"/>
      <c r="EO180" s="96"/>
      <c r="EP180" s="96"/>
      <c r="EQ180" s="96"/>
      <c r="ER180" s="96"/>
      <c r="ES180" s="96"/>
      <c r="ET180" s="96"/>
      <c r="EU180" s="96"/>
      <c r="EV180" s="96"/>
      <c r="EW180" s="96"/>
      <c r="EX180" s="96"/>
      <c r="EY180" s="96"/>
      <c r="EZ180" s="96"/>
      <c r="FA180" s="96"/>
      <c r="FB180" s="96"/>
      <c r="FC180" s="96"/>
      <c r="FD180" s="96"/>
      <c r="FE180" s="96"/>
      <c r="FF180" s="96"/>
      <c r="FG180" s="96"/>
      <c r="FH180" s="96"/>
      <c r="FI180" s="96"/>
      <c r="FJ180" s="96"/>
      <c r="FK180" s="96"/>
      <c r="FL180" s="96"/>
      <c r="FM180" s="96"/>
      <c r="FN180" s="96"/>
      <c r="FO180" s="96"/>
      <c r="FP180" s="96"/>
      <c r="FQ180" s="96"/>
      <c r="FR180" s="96"/>
      <c r="FS180" s="96"/>
      <c r="FT180" s="96"/>
      <c r="FU180" s="96"/>
      <c r="FV180" s="96"/>
      <c r="FW180" s="96"/>
      <c r="FX180" s="96"/>
      <c r="FY180" s="96"/>
      <c r="FZ180" s="96"/>
      <c r="GA180" s="96"/>
      <c r="GB180" s="96"/>
      <c r="GC180" s="96"/>
      <c r="GD180" s="96"/>
      <c r="GE180" s="96"/>
      <c r="GF180" s="96"/>
      <c r="GG180" s="96"/>
      <c r="GH180" s="96"/>
      <c r="GI180" s="96"/>
      <c r="GJ180" s="96"/>
      <c r="GK180" s="96"/>
      <c r="GL180" s="96"/>
      <c r="GM180" s="96"/>
      <c r="GN180" s="96"/>
      <c r="GO180" s="96"/>
      <c r="GP180" s="96"/>
      <c r="GQ180" s="96"/>
      <c r="GR180" s="96"/>
      <c r="GS180" s="96"/>
      <c r="GT180" s="96"/>
      <c r="GU180" s="96"/>
      <c r="GV180" s="96"/>
      <c r="GW180" s="96"/>
      <c r="GX180" s="96"/>
      <c r="GY180" s="96"/>
      <c r="GZ180" s="96"/>
      <c r="HA180" s="96"/>
      <c r="HB180" s="96"/>
      <c r="HC180" s="96"/>
      <c r="HD180" s="96"/>
      <c r="HE180" s="96"/>
      <c r="HF180" s="96"/>
      <c r="HG180" s="96"/>
      <c r="HH180" s="96"/>
      <c r="HI180" s="96"/>
      <c r="HJ180" s="96"/>
      <c r="HK180" s="96"/>
      <c r="HL180" s="96"/>
      <c r="HM180" s="96"/>
      <c r="HN180" s="96"/>
      <c r="HO180" s="96"/>
      <c r="HP180" s="96"/>
      <c r="HQ180" s="96"/>
      <c r="HR180" s="96"/>
      <c r="HS180" s="96"/>
      <c r="HT180" s="96"/>
      <c r="HU180" s="96"/>
      <c r="HV180" s="96"/>
      <c r="HW180" s="96"/>
      <c r="HX180" s="96"/>
      <c r="HY180" s="96"/>
      <c r="HZ180" s="96"/>
      <c r="IA180" s="96"/>
      <c r="IB180" s="96"/>
      <c r="IC180" s="96"/>
      <c r="ID180" s="96"/>
      <c r="IE180" s="96"/>
      <c r="IF180" s="96"/>
      <c r="IG180" s="96"/>
      <c r="IH180" s="96"/>
      <c r="II180" s="96"/>
      <c r="IJ180" s="96"/>
      <c r="IK180" s="96"/>
      <c r="IL180" s="96"/>
      <c r="IM180" s="96"/>
      <c r="IN180" s="96"/>
      <c r="IO180" s="96"/>
      <c r="IP180" s="96"/>
      <c r="IQ180" s="96"/>
      <c r="IR180" s="96"/>
      <c r="IS180" s="96"/>
      <c r="IT180" s="96"/>
      <c r="IU180" s="96"/>
      <c r="IV180" s="96"/>
    </row>
    <row r="181" spans="1:256" s="224" customFormat="1" ht="16.5" customHeight="1" x14ac:dyDescent="0.2">
      <c r="A181" s="32" t="s">
        <v>563</v>
      </c>
      <c r="B181" s="507" t="s">
        <v>47</v>
      </c>
      <c r="C181" s="328">
        <f>C136-C175</f>
        <v>0.11299999999999999</v>
      </c>
      <c r="D181" s="328">
        <f>D136-D175</f>
        <v>0.10600000000000001</v>
      </c>
      <c r="E181" s="328">
        <f>E136-E175</f>
        <v>9.8000000000000004E-2</v>
      </c>
      <c r="F181" s="328">
        <f>F136-F175</f>
        <v>8.1000000000000003E-2</v>
      </c>
      <c r="G181" s="328">
        <f>G136-G175</f>
        <v>6.2E-2</v>
      </c>
      <c r="H181" s="1348"/>
      <c r="I181" s="718"/>
      <c r="J181" s="718"/>
      <c r="K181" s="718"/>
      <c r="L181" s="718"/>
      <c r="M181" s="718"/>
      <c r="N181" s="718"/>
      <c r="O181" s="718"/>
      <c r="P181" s="718"/>
      <c r="Q181" s="718"/>
      <c r="R181" s="718"/>
      <c r="S181" s="718"/>
      <c r="T181" s="718"/>
      <c r="U181" s="718"/>
      <c r="V181" s="718"/>
      <c r="W181" s="718"/>
      <c r="X181" s="718"/>
      <c r="Y181" s="718"/>
      <c r="Z181" s="718"/>
      <c r="AA181" s="96"/>
      <c r="AB181" s="96"/>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96"/>
      <c r="BW181" s="96"/>
      <c r="BX181" s="96"/>
      <c r="BY181" s="96"/>
      <c r="BZ181" s="96"/>
      <c r="CA181" s="96"/>
      <c r="CB181" s="96"/>
      <c r="CC181" s="96"/>
      <c r="CD181" s="96"/>
      <c r="CE181" s="96"/>
      <c r="CF181" s="96"/>
      <c r="CG181" s="96"/>
      <c r="CH181" s="96"/>
      <c r="CI181" s="96"/>
      <c r="CJ181" s="96"/>
      <c r="CK181" s="96"/>
      <c r="CL181" s="96"/>
      <c r="CM181" s="96"/>
      <c r="CN181" s="96"/>
      <c r="CO181" s="96"/>
      <c r="CP181" s="96"/>
      <c r="CQ181" s="96"/>
      <c r="CR181" s="96"/>
      <c r="CS181" s="96"/>
      <c r="CT181" s="96"/>
      <c r="CU181" s="96"/>
      <c r="CV181" s="96"/>
      <c r="CW181" s="96"/>
      <c r="CX181" s="96"/>
      <c r="CY181" s="96"/>
      <c r="CZ181" s="96"/>
      <c r="DA181" s="96"/>
      <c r="DB181" s="96"/>
      <c r="DC181" s="96"/>
      <c r="DD181" s="96"/>
      <c r="DE181" s="96"/>
      <c r="DF181" s="96"/>
      <c r="DG181" s="96"/>
      <c r="DH181" s="96"/>
      <c r="DI181" s="96"/>
      <c r="DJ181" s="96"/>
      <c r="DK181" s="96"/>
      <c r="DL181" s="96"/>
      <c r="DM181" s="96"/>
      <c r="DN181" s="96"/>
      <c r="DO181" s="96"/>
      <c r="DP181" s="96"/>
      <c r="DQ181" s="96"/>
      <c r="DR181" s="96"/>
      <c r="DS181" s="96"/>
      <c r="DT181" s="96"/>
      <c r="DU181" s="96"/>
      <c r="DV181" s="96"/>
      <c r="DW181" s="96"/>
      <c r="DX181" s="96"/>
      <c r="DY181" s="96"/>
      <c r="DZ181" s="96"/>
      <c r="EA181" s="96"/>
      <c r="EB181" s="96"/>
      <c r="EC181" s="96"/>
      <c r="ED181" s="96"/>
      <c r="EE181" s="96"/>
      <c r="EF181" s="96"/>
      <c r="EG181" s="96"/>
      <c r="EH181" s="96"/>
      <c r="EI181" s="96"/>
      <c r="EJ181" s="96"/>
      <c r="EK181" s="96"/>
      <c r="EL181" s="96"/>
      <c r="EM181" s="96"/>
      <c r="EN181" s="96"/>
      <c r="EO181" s="96"/>
      <c r="EP181" s="96"/>
      <c r="EQ181" s="96"/>
      <c r="ER181" s="96"/>
      <c r="ES181" s="96"/>
      <c r="ET181" s="96"/>
      <c r="EU181" s="96"/>
      <c r="EV181" s="96"/>
      <c r="EW181" s="96"/>
      <c r="EX181" s="96"/>
      <c r="EY181" s="96"/>
      <c r="EZ181" s="96"/>
      <c r="FA181" s="96"/>
      <c r="FB181" s="96"/>
      <c r="FC181" s="96"/>
      <c r="FD181" s="96"/>
      <c r="FE181" s="96"/>
      <c r="FF181" s="96"/>
      <c r="FG181" s="96"/>
      <c r="FH181" s="96"/>
      <c r="FI181" s="96"/>
      <c r="FJ181" s="96"/>
      <c r="FK181" s="96"/>
      <c r="FL181" s="96"/>
      <c r="FM181" s="96"/>
      <c r="FN181" s="96"/>
      <c r="FO181" s="96"/>
      <c r="FP181" s="96"/>
      <c r="FQ181" s="96"/>
      <c r="FR181" s="96"/>
      <c r="FS181" s="96"/>
      <c r="FT181" s="96"/>
      <c r="FU181" s="96"/>
      <c r="FV181" s="96"/>
      <c r="FW181" s="96"/>
      <c r="FX181" s="96"/>
      <c r="FY181" s="96"/>
      <c r="FZ181" s="96"/>
      <c r="GA181" s="96"/>
      <c r="GB181" s="96"/>
      <c r="GC181" s="96"/>
      <c r="GD181" s="96"/>
      <c r="GE181" s="96"/>
      <c r="GF181" s="96"/>
      <c r="GG181" s="96"/>
      <c r="GH181" s="96"/>
      <c r="GI181" s="96"/>
      <c r="GJ181" s="96"/>
      <c r="GK181" s="96"/>
      <c r="GL181" s="96"/>
      <c r="GM181" s="96"/>
      <c r="GN181" s="96"/>
      <c r="GO181" s="96"/>
      <c r="GP181" s="96"/>
      <c r="GQ181" s="96"/>
      <c r="GR181" s="96"/>
      <c r="GS181" s="96"/>
      <c r="GT181" s="96"/>
      <c r="GU181" s="96"/>
      <c r="GV181" s="96"/>
      <c r="GW181" s="96"/>
      <c r="GX181" s="96"/>
      <c r="GY181" s="96"/>
      <c r="GZ181" s="96"/>
      <c r="HA181" s="96"/>
      <c r="HB181" s="96"/>
      <c r="HC181" s="96"/>
      <c r="HD181" s="96"/>
      <c r="HE181" s="96"/>
      <c r="HF181" s="96"/>
      <c r="HG181" s="96"/>
      <c r="HH181" s="96"/>
      <c r="HI181" s="96"/>
      <c r="HJ181" s="96"/>
      <c r="HK181" s="96"/>
      <c r="HL181" s="96"/>
      <c r="HM181" s="96"/>
      <c r="HN181" s="96"/>
      <c r="HO181" s="96"/>
      <c r="HP181" s="96"/>
      <c r="HQ181" s="96"/>
      <c r="HR181" s="96"/>
      <c r="HS181" s="96"/>
      <c r="HT181" s="96"/>
      <c r="HU181" s="96"/>
      <c r="HV181" s="96"/>
      <c r="HW181" s="96"/>
      <c r="HX181" s="96"/>
      <c r="HY181" s="96"/>
      <c r="HZ181" s="96"/>
      <c r="IA181" s="96"/>
      <c r="IB181" s="96"/>
      <c r="IC181" s="96"/>
      <c r="ID181" s="96"/>
      <c r="IE181" s="96"/>
      <c r="IF181" s="96"/>
      <c r="IG181" s="96"/>
      <c r="IH181" s="96"/>
      <c r="II181" s="96"/>
      <c r="IJ181" s="96"/>
      <c r="IK181" s="96"/>
      <c r="IL181" s="96"/>
      <c r="IM181" s="96"/>
      <c r="IN181" s="96"/>
      <c r="IO181" s="96"/>
      <c r="IP181" s="96"/>
      <c r="IQ181" s="96"/>
      <c r="IR181" s="96"/>
      <c r="IS181" s="96"/>
      <c r="IT181" s="96"/>
      <c r="IU181" s="96"/>
      <c r="IV181" s="96"/>
    </row>
    <row r="182" spans="1:256" s="224" customFormat="1" ht="16.5" customHeight="1" x14ac:dyDescent="0.2">
      <c r="A182" s="104" t="s">
        <v>564</v>
      </c>
      <c r="B182" s="507" t="s">
        <v>47</v>
      </c>
      <c r="C182" s="174">
        <f>C172*C181</f>
        <v>0.19096999999999997</v>
      </c>
      <c r="D182" s="174">
        <f>D172*D181</f>
        <v>0.21518000000000001</v>
      </c>
      <c r="E182" s="174">
        <f>E172*E181</f>
        <v>0.20776000000000003</v>
      </c>
      <c r="F182" s="174">
        <f>F172*F181</f>
        <v>0.17091000000000001</v>
      </c>
      <c r="G182" s="174">
        <f>G172*G181</f>
        <v>0.18661999999999998</v>
      </c>
      <c r="H182" s="1348"/>
      <c r="I182" s="718"/>
      <c r="J182" s="718"/>
      <c r="K182" s="718"/>
      <c r="L182" s="718"/>
      <c r="M182" s="718"/>
      <c r="N182" s="718"/>
      <c r="O182" s="718"/>
      <c r="P182" s="718"/>
      <c r="Q182" s="718"/>
      <c r="R182" s="718"/>
      <c r="S182" s="718"/>
      <c r="T182" s="718"/>
      <c r="U182" s="718"/>
      <c r="V182" s="718"/>
      <c r="W182" s="718"/>
      <c r="X182" s="718"/>
      <c r="Y182" s="718"/>
      <c r="Z182" s="718"/>
      <c r="AA182" s="96"/>
      <c r="AB182" s="96"/>
      <c r="AC182" s="96"/>
      <c r="AD182" s="96"/>
      <c r="AE182" s="96"/>
      <c r="AF182" s="96"/>
      <c r="AG182" s="96"/>
      <c r="AH182" s="96"/>
      <c r="AI182" s="96"/>
      <c r="AJ182" s="96"/>
      <c r="AK182" s="96"/>
      <c r="AL182" s="96"/>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c r="BN182" s="96"/>
      <c r="BO182" s="96"/>
      <c r="BP182" s="96"/>
      <c r="BQ182" s="96"/>
      <c r="BR182" s="96"/>
      <c r="BS182" s="96"/>
      <c r="BT182" s="96"/>
      <c r="BU182" s="96"/>
      <c r="BV182" s="96"/>
      <c r="BW182" s="96"/>
      <c r="BX182" s="96"/>
      <c r="BY182" s="96"/>
      <c r="BZ182" s="96"/>
      <c r="CA182" s="96"/>
      <c r="CB182" s="96"/>
      <c r="CC182" s="96"/>
      <c r="CD182" s="96"/>
      <c r="CE182" s="96"/>
      <c r="CF182" s="96"/>
      <c r="CG182" s="96"/>
      <c r="CH182" s="96"/>
      <c r="CI182" s="96"/>
      <c r="CJ182" s="96"/>
      <c r="CK182" s="96"/>
      <c r="CL182" s="96"/>
      <c r="CM182" s="96"/>
      <c r="CN182" s="96"/>
      <c r="CO182" s="96"/>
      <c r="CP182" s="96"/>
      <c r="CQ182" s="96"/>
      <c r="CR182" s="96"/>
      <c r="CS182" s="96"/>
      <c r="CT182" s="96"/>
      <c r="CU182" s="96"/>
      <c r="CV182" s="96"/>
      <c r="CW182" s="96"/>
      <c r="CX182" s="96"/>
      <c r="CY182" s="96"/>
      <c r="CZ182" s="96"/>
      <c r="DA182" s="96"/>
      <c r="DB182" s="96"/>
      <c r="DC182" s="96"/>
      <c r="DD182" s="96"/>
      <c r="DE182" s="96"/>
      <c r="DF182" s="96"/>
      <c r="DG182" s="96"/>
      <c r="DH182" s="96"/>
      <c r="DI182" s="96"/>
      <c r="DJ182" s="96"/>
      <c r="DK182" s="96"/>
      <c r="DL182" s="96"/>
      <c r="DM182" s="96"/>
      <c r="DN182" s="96"/>
      <c r="DO182" s="96"/>
      <c r="DP182" s="96"/>
      <c r="DQ182" s="96"/>
      <c r="DR182" s="96"/>
      <c r="DS182" s="96"/>
      <c r="DT182" s="96"/>
      <c r="DU182" s="96"/>
      <c r="DV182" s="96"/>
      <c r="DW182" s="96"/>
      <c r="DX182" s="96"/>
      <c r="DY182" s="96"/>
      <c r="DZ182" s="96"/>
      <c r="EA182" s="96"/>
      <c r="EB182" s="96"/>
      <c r="EC182" s="96"/>
      <c r="ED182" s="96"/>
      <c r="EE182" s="96"/>
      <c r="EF182" s="96"/>
      <c r="EG182" s="96"/>
      <c r="EH182" s="96"/>
      <c r="EI182" s="96"/>
      <c r="EJ182" s="96"/>
      <c r="EK182" s="96"/>
      <c r="EL182" s="96"/>
      <c r="EM182" s="96"/>
      <c r="EN182" s="96"/>
      <c r="EO182" s="96"/>
      <c r="EP182" s="96"/>
      <c r="EQ182" s="96"/>
      <c r="ER182" s="96"/>
      <c r="ES182" s="96"/>
      <c r="ET182" s="96"/>
      <c r="EU182" s="96"/>
      <c r="EV182" s="96"/>
      <c r="EW182" s="96"/>
      <c r="EX182" s="96"/>
      <c r="EY182" s="96"/>
      <c r="EZ182" s="96"/>
      <c r="FA182" s="96"/>
      <c r="FB182" s="96"/>
      <c r="FC182" s="96"/>
      <c r="FD182" s="96"/>
      <c r="FE182" s="96"/>
      <c r="FF182" s="96"/>
      <c r="FG182" s="96"/>
      <c r="FH182" s="96"/>
      <c r="FI182" s="96"/>
      <c r="FJ182" s="96"/>
      <c r="FK182" s="96"/>
      <c r="FL182" s="96"/>
      <c r="FM182" s="96"/>
      <c r="FN182" s="96"/>
      <c r="FO182" s="96"/>
      <c r="FP182" s="96"/>
      <c r="FQ182" s="96"/>
      <c r="FR182" s="96"/>
      <c r="FS182" s="96"/>
      <c r="FT182" s="96"/>
      <c r="FU182" s="96"/>
      <c r="FV182" s="96"/>
      <c r="FW182" s="96"/>
      <c r="FX182" s="96"/>
      <c r="FY182" s="96"/>
      <c r="FZ182" s="96"/>
      <c r="GA182" s="96"/>
      <c r="GB182" s="96"/>
      <c r="GC182" s="96"/>
      <c r="GD182" s="96"/>
      <c r="GE182" s="96"/>
      <c r="GF182" s="96"/>
      <c r="GG182" s="96"/>
      <c r="GH182" s="96"/>
      <c r="GI182" s="96"/>
      <c r="GJ182" s="96"/>
      <c r="GK182" s="96"/>
      <c r="GL182" s="96"/>
      <c r="GM182" s="96"/>
      <c r="GN182" s="96"/>
      <c r="GO182" s="96"/>
      <c r="GP182" s="96"/>
      <c r="GQ182" s="96"/>
      <c r="GR182" s="96"/>
      <c r="GS182" s="96"/>
      <c r="GT182" s="96"/>
      <c r="GU182" s="96"/>
      <c r="GV182" s="96"/>
      <c r="GW182" s="96"/>
      <c r="GX182" s="96"/>
      <c r="GY182" s="96"/>
      <c r="GZ182" s="96"/>
      <c r="HA182" s="96"/>
      <c r="HB182" s="96"/>
      <c r="HC182" s="96"/>
      <c r="HD182" s="96"/>
      <c r="HE182" s="96"/>
      <c r="HF182" s="96"/>
      <c r="HG182" s="96"/>
      <c r="HH182" s="96"/>
      <c r="HI182" s="96"/>
      <c r="HJ182" s="96"/>
      <c r="HK182" s="96"/>
      <c r="HL182" s="96"/>
      <c r="HM182" s="96"/>
      <c r="HN182" s="96"/>
      <c r="HO182" s="96"/>
      <c r="HP182" s="96"/>
      <c r="HQ182" s="96"/>
      <c r="HR182" s="96"/>
      <c r="HS182" s="96"/>
      <c r="HT182" s="96"/>
      <c r="HU182" s="96"/>
      <c r="HV182" s="96"/>
      <c r="HW182" s="96"/>
      <c r="HX182" s="96"/>
      <c r="HY182" s="96"/>
      <c r="HZ182" s="96"/>
      <c r="IA182" s="96"/>
      <c r="IB182" s="96"/>
      <c r="IC182" s="96"/>
      <c r="ID182" s="96"/>
      <c r="IE182" s="96"/>
      <c r="IF182" s="96"/>
      <c r="IG182" s="96"/>
      <c r="IH182" s="96"/>
      <c r="II182" s="96"/>
      <c r="IJ182" s="96"/>
      <c r="IK182" s="96"/>
      <c r="IL182" s="96"/>
      <c r="IM182" s="96"/>
      <c r="IN182" s="96"/>
      <c r="IO182" s="96"/>
      <c r="IP182" s="96"/>
      <c r="IQ182" s="96"/>
      <c r="IR182" s="96"/>
      <c r="IS182" s="96"/>
      <c r="IT182" s="96"/>
      <c r="IU182" s="96"/>
      <c r="IV182" s="96"/>
    </row>
    <row r="183" spans="1:256" s="346" customFormat="1" ht="18" customHeight="1" x14ac:dyDescent="0.2">
      <c r="A183" s="272" t="s">
        <v>556</v>
      </c>
      <c r="B183" s="90" t="s">
        <v>47</v>
      </c>
      <c r="C183" s="94">
        <f>'Financial Ratios'!C69</f>
        <v>0.33700000000000002</v>
      </c>
      <c r="D183" s="94">
        <f>'Financial Ratios'!D69</f>
        <v>0.35499999999999998</v>
      </c>
      <c r="E183" s="94">
        <f>'Financial Ratios'!E69</f>
        <v>0.34200000000000003</v>
      </c>
      <c r="F183" s="94">
        <f>'Financial Ratios'!F69</f>
        <v>0.28199999999999997</v>
      </c>
      <c r="G183" s="94">
        <f>'Financial Ratios'!G69</f>
        <v>0.27800000000000002</v>
      </c>
      <c r="H183" s="1349"/>
      <c r="I183" s="718"/>
      <c r="J183" s="718"/>
      <c r="K183" s="718"/>
      <c r="L183" s="718"/>
      <c r="M183" s="718"/>
      <c r="N183" s="718"/>
      <c r="O183" s="718"/>
      <c r="P183" s="718"/>
      <c r="Q183" s="718"/>
      <c r="R183" s="718"/>
      <c r="S183" s="718"/>
      <c r="T183" s="718"/>
      <c r="U183" s="718"/>
      <c r="V183" s="718"/>
      <c r="W183" s="718"/>
      <c r="X183" s="718"/>
      <c r="Y183" s="718"/>
      <c r="Z183" s="718"/>
      <c r="AA183" s="96"/>
      <c r="AB183" s="96"/>
      <c r="AC183" s="96"/>
      <c r="AD183" s="96"/>
      <c r="AE183" s="96"/>
      <c r="AF183" s="96"/>
      <c r="AG183" s="96"/>
      <c r="AH183" s="96"/>
      <c r="AI183" s="96"/>
      <c r="AJ183" s="96"/>
      <c r="AK183" s="96"/>
      <c r="AL183" s="96"/>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c r="BN183" s="96"/>
      <c r="BO183" s="96"/>
      <c r="BP183" s="96"/>
      <c r="BQ183" s="96"/>
      <c r="BR183" s="96"/>
      <c r="BS183" s="96"/>
      <c r="BT183" s="96"/>
      <c r="BU183" s="96"/>
      <c r="BV183" s="96"/>
      <c r="BW183" s="96"/>
      <c r="BX183" s="96"/>
      <c r="BY183" s="96"/>
      <c r="BZ183" s="96"/>
      <c r="CA183" s="96"/>
      <c r="CB183" s="96"/>
      <c r="CC183" s="96"/>
      <c r="CD183" s="96"/>
      <c r="CE183" s="96"/>
      <c r="CF183" s="96"/>
      <c r="CG183" s="96"/>
      <c r="CH183" s="96"/>
      <c r="CI183" s="96"/>
      <c r="CJ183" s="96"/>
      <c r="CK183" s="96"/>
      <c r="CL183" s="96"/>
      <c r="CM183" s="96"/>
      <c r="CN183" s="96"/>
      <c r="CO183" s="96"/>
      <c r="CP183" s="96"/>
      <c r="CQ183" s="96"/>
      <c r="CR183" s="96"/>
      <c r="CS183" s="96"/>
      <c r="CT183" s="96"/>
      <c r="CU183" s="96"/>
      <c r="CV183" s="96"/>
      <c r="CW183" s="96"/>
      <c r="CX183" s="96"/>
      <c r="CY183" s="96"/>
      <c r="CZ183" s="96"/>
      <c r="DA183" s="96"/>
      <c r="DB183" s="96"/>
      <c r="DC183" s="96"/>
      <c r="DD183" s="96"/>
      <c r="DE183" s="96"/>
      <c r="DF183" s="96"/>
      <c r="DG183" s="96"/>
      <c r="DH183" s="96"/>
      <c r="DI183" s="96"/>
      <c r="DJ183" s="96"/>
      <c r="DK183" s="96"/>
      <c r="DL183" s="96"/>
      <c r="DM183" s="96"/>
      <c r="DN183" s="96"/>
      <c r="DO183" s="96"/>
      <c r="DP183" s="96"/>
      <c r="DQ183" s="96"/>
      <c r="DR183" s="96"/>
      <c r="DS183" s="96"/>
      <c r="DT183" s="96"/>
      <c r="DU183" s="96"/>
      <c r="DV183" s="96"/>
      <c r="DW183" s="96"/>
      <c r="DX183" s="96"/>
      <c r="DY183" s="96"/>
      <c r="DZ183" s="96"/>
      <c r="EA183" s="96"/>
      <c r="EB183" s="96"/>
      <c r="EC183" s="96"/>
      <c r="ED183" s="96"/>
      <c r="EE183" s="96"/>
      <c r="EF183" s="96"/>
      <c r="EG183" s="96"/>
      <c r="EH183" s="96"/>
      <c r="EI183" s="96"/>
      <c r="EJ183" s="96"/>
      <c r="EK183" s="96"/>
      <c r="EL183" s="96"/>
      <c r="EM183" s="96"/>
      <c r="EN183" s="96"/>
      <c r="EO183" s="96"/>
      <c r="EP183" s="96"/>
      <c r="EQ183" s="96"/>
      <c r="ER183" s="96"/>
      <c r="ES183" s="96"/>
      <c r="ET183" s="96"/>
      <c r="EU183" s="96"/>
      <c r="EV183" s="96"/>
      <c r="EW183" s="96"/>
      <c r="EX183" s="96"/>
      <c r="EY183" s="96"/>
      <c r="EZ183" s="96"/>
      <c r="FA183" s="96"/>
      <c r="FB183" s="96"/>
      <c r="FC183" s="96"/>
      <c r="FD183" s="96"/>
      <c r="FE183" s="96"/>
      <c r="FF183" s="96"/>
      <c r="FG183" s="96"/>
      <c r="FH183" s="96"/>
      <c r="FI183" s="96"/>
      <c r="FJ183" s="96"/>
      <c r="FK183" s="96"/>
      <c r="FL183" s="96"/>
      <c r="FM183" s="96"/>
      <c r="FN183" s="96"/>
      <c r="FO183" s="96"/>
      <c r="FP183" s="96"/>
      <c r="FQ183" s="96"/>
      <c r="FR183" s="96"/>
      <c r="FS183" s="96"/>
      <c r="FT183" s="96"/>
      <c r="FU183" s="96"/>
      <c r="FV183" s="96"/>
      <c r="FW183" s="96"/>
      <c r="FX183" s="96"/>
      <c r="FY183" s="96"/>
      <c r="FZ183" s="96"/>
      <c r="GA183" s="96"/>
      <c r="GB183" s="96"/>
      <c r="GC183" s="96"/>
      <c r="GD183" s="96"/>
      <c r="GE183" s="96"/>
      <c r="GF183" s="96"/>
      <c r="GG183" s="96"/>
      <c r="GH183" s="96"/>
      <c r="GI183" s="96"/>
      <c r="GJ183" s="96"/>
      <c r="GK183" s="96"/>
      <c r="GL183" s="96"/>
      <c r="GM183" s="96"/>
      <c r="GN183" s="96"/>
      <c r="GO183" s="96"/>
      <c r="GP183" s="96"/>
      <c r="GQ183" s="96"/>
      <c r="GR183" s="96"/>
      <c r="GS183" s="96"/>
      <c r="GT183" s="96"/>
      <c r="GU183" s="96"/>
      <c r="GV183" s="96"/>
      <c r="GW183" s="96"/>
      <c r="GX183" s="96"/>
      <c r="GY183" s="96"/>
      <c r="GZ183" s="96"/>
      <c r="HA183" s="96"/>
      <c r="HB183" s="96"/>
      <c r="HC183" s="96"/>
      <c r="HD183" s="96"/>
      <c r="HE183" s="96"/>
      <c r="HF183" s="96"/>
      <c r="HG183" s="96"/>
      <c r="HH183" s="96"/>
      <c r="HI183" s="96"/>
      <c r="HJ183" s="96"/>
      <c r="HK183" s="96"/>
      <c r="HL183" s="96"/>
      <c r="HM183" s="96"/>
      <c r="HN183" s="96"/>
      <c r="HO183" s="96"/>
      <c r="HP183" s="96"/>
      <c r="HQ183" s="96"/>
      <c r="HR183" s="96"/>
      <c r="HS183" s="96"/>
      <c r="HT183" s="96"/>
      <c r="HU183" s="96"/>
      <c r="HV183" s="96"/>
      <c r="HW183" s="96"/>
      <c r="HX183" s="96"/>
      <c r="HY183" s="96"/>
      <c r="HZ183" s="96"/>
      <c r="IA183" s="96"/>
      <c r="IB183" s="96"/>
      <c r="IC183" s="96"/>
      <c r="ID183" s="96"/>
      <c r="IE183" s="96"/>
      <c r="IF183" s="96"/>
      <c r="IG183" s="96"/>
      <c r="IH183" s="96"/>
      <c r="II183" s="96"/>
      <c r="IJ183" s="96"/>
      <c r="IK183" s="96"/>
      <c r="IL183" s="96"/>
      <c r="IM183" s="96"/>
      <c r="IN183" s="96"/>
      <c r="IO183" s="96"/>
      <c r="IP183" s="96"/>
      <c r="IQ183" s="96"/>
      <c r="IR183" s="96"/>
      <c r="IS183" s="96"/>
      <c r="IT183" s="96"/>
      <c r="IU183" s="96"/>
      <c r="IV183" s="96"/>
    </row>
    <row r="184" spans="1:256" s="107" customFormat="1" ht="16.5" customHeight="1" x14ac:dyDescent="0.2">
      <c r="A184" s="106" t="s">
        <v>561</v>
      </c>
      <c r="B184" s="518" t="s">
        <v>47</v>
      </c>
      <c r="C184" s="108">
        <f>C183-C136</f>
        <v>0.19100000000000003</v>
      </c>
      <c r="D184" s="108">
        <f>D183-D136</f>
        <v>0.21599999999999997</v>
      </c>
      <c r="E184" s="108">
        <f>E183-E136</f>
        <v>0.20900000000000002</v>
      </c>
      <c r="F184" s="108">
        <f>F183-F136</f>
        <v>0.17099999999999999</v>
      </c>
      <c r="G184" s="108">
        <f>G183-G136</f>
        <v>0.18600000000000003</v>
      </c>
      <c r="H184" s="777"/>
      <c r="I184" s="777"/>
      <c r="J184" s="777"/>
      <c r="K184" s="777"/>
      <c r="L184" s="777"/>
      <c r="M184" s="777"/>
      <c r="N184" s="777"/>
      <c r="O184" s="777"/>
      <c r="P184" s="777"/>
      <c r="Q184" s="777"/>
      <c r="R184" s="777"/>
      <c r="S184" s="777"/>
      <c r="T184" s="777"/>
      <c r="U184" s="777"/>
      <c r="V184" s="777"/>
      <c r="W184" s="777"/>
      <c r="X184" s="777"/>
      <c r="Y184" s="777"/>
      <c r="Z184" s="777"/>
      <c r="AA184" s="211"/>
      <c r="AB184" s="211"/>
      <c r="AC184" s="211"/>
      <c r="AD184" s="211"/>
      <c r="AE184" s="211"/>
      <c r="AF184" s="211"/>
      <c r="AG184" s="211"/>
      <c r="AH184" s="211"/>
      <c r="AI184" s="211"/>
      <c r="AJ184" s="211"/>
      <c r="AK184" s="211"/>
      <c r="AL184" s="211"/>
      <c r="AM184" s="211"/>
      <c r="AN184" s="211"/>
      <c r="AO184" s="211"/>
      <c r="AP184" s="211"/>
      <c r="AQ184" s="211"/>
      <c r="AR184" s="211"/>
      <c r="AS184" s="211"/>
      <c r="AT184" s="211"/>
      <c r="AU184" s="211"/>
      <c r="AV184" s="211"/>
      <c r="AW184" s="211"/>
      <c r="AX184" s="211"/>
      <c r="AY184" s="211"/>
      <c r="AZ184" s="211"/>
      <c r="BA184" s="211"/>
      <c r="BB184" s="211"/>
      <c r="BC184" s="211"/>
      <c r="BD184" s="211"/>
      <c r="BE184" s="211"/>
      <c r="BF184" s="211"/>
      <c r="BG184" s="211"/>
      <c r="BH184" s="211"/>
      <c r="BI184" s="211"/>
      <c r="BJ184" s="211"/>
      <c r="BK184" s="211"/>
      <c r="BL184" s="211"/>
      <c r="BM184" s="211"/>
      <c r="BN184" s="211"/>
      <c r="BO184" s="211"/>
      <c r="BP184" s="211"/>
      <c r="BQ184" s="211"/>
      <c r="BR184" s="211"/>
      <c r="BS184" s="211"/>
      <c r="BT184" s="211"/>
      <c r="BU184" s="211"/>
      <c r="BV184" s="211"/>
      <c r="BW184" s="211"/>
      <c r="BX184" s="211"/>
      <c r="BY184" s="211"/>
      <c r="BZ184" s="211"/>
      <c r="CA184" s="211"/>
      <c r="CB184" s="211"/>
      <c r="CC184" s="211"/>
      <c r="CD184" s="211"/>
      <c r="CE184" s="211"/>
      <c r="CF184" s="211"/>
      <c r="CG184" s="211"/>
      <c r="CH184" s="211"/>
      <c r="CI184" s="211"/>
      <c r="CJ184" s="211"/>
      <c r="CK184" s="211"/>
      <c r="CL184" s="211"/>
      <c r="CM184" s="211"/>
      <c r="CN184" s="211"/>
      <c r="CO184" s="211"/>
      <c r="CP184" s="211"/>
      <c r="CQ184" s="211"/>
      <c r="CR184" s="211"/>
      <c r="CS184" s="211"/>
      <c r="CT184" s="211"/>
      <c r="CU184" s="211"/>
      <c r="CV184" s="211"/>
      <c r="CW184" s="211"/>
      <c r="CX184" s="211"/>
      <c r="CY184" s="211"/>
      <c r="CZ184" s="211"/>
      <c r="DA184" s="211"/>
      <c r="DB184" s="211"/>
      <c r="DC184" s="211"/>
      <c r="DD184" s="211"/>
      <c r="DE184" s="211"/>
      <c r="DF184" s="211"/>
      <c r="DG184" s="211"/>
      <c r="DH184" s="211"/>
      <c r="DI184" s="211"/>
      <c r="DJ184" s="211"/>
      <c r="DK184" s="211"/>
      <c r="DL184" s="211"/>
      <c r="DM184" s="211"/>
      <c r="DN184" s="211"/>
      <c r="DO184" s="211"/>
      <c r="DP184" s="211"/>
      <c r="DQ184" s="211"/>
      <c r="DR184" s="211"/>
      <c r="DS184" s="211"/>
      <c r="DT184" s="211"/>
      <c r="DU184" s="211"/>
      <c r="DV184" s="211"/>
      <c r="DW184" s="211"/>
      <c r="DX184" s="211"/>
      <c r="DY184" s="211"/>
      <c r="DZ184" s="211"/>
      <c r="EA184" s="211"/>
      <c r="EB184" s="211"/>
      <c r="EC184" s="211"/>
      <c r="ED184" s="211"/>
      <c r="EE184" s="211"/>
      <c r="EF184" s="211"/>
      <c r="EG184" s="211"/>
      <c r="EH184" s="211"/>
      <c r="EI184" s="211"/>
      <c r="EJ184" s="211"/>
      <c r="EK184" s="211"/>
      <c r="EL184" s="211"/>
      <c r="EM184" s="211"/>
      <c r="EN184" s="211"/>
      <c r="EO184" s="211"/>
      <c r="EP184" s="211"/>
      <c r="EQ184" s="211"/>
      <c r="ER184" s="211"/>
      <c r="ES184" s="211"/>
      <c r="ET184" s="211"/>
      <c r="EU184" s="211"/>
      <c r="EV184" s="211"/>
      <c r="EW184" s="211"/>
      <c r="EX184" s="211"/>
      <c r="EY184" s="211"/>
      <c r="EZ184" s="211"/>
      <c r="FA184" s="211"/>
      <c r="FB184" s="211"/>
      <c r="FC184" s="211"/>
      <c r="FD184" s="211"/>
      <c r="FE184" s="211"/>
      <c r="FF184" s="211"/>
      <c r="FG184" s="211"/>
      <c r="FH184" s="211"/>
      <c r="FI184" s="211"/>
      <c r="FJ184" s="211"/>
      <c r="FK184" s="211"/>
      <c r="FL184" s="211"/>
      <c r="FM184" s="211"/>
      <c r="FN184" s="211"/>
      <c r="FO184" s="211"/>
      <c r="FP184" s="211"/>
      <c r="FQ184" s="211"/>
      <c r="FR184" s="211"/>
      <c r="FS184" s="211"/>
      <c r="FT184" s="211"/>
      <c r="FU184" s="211"/>
      <c r="FV184" s="211"/>
      <c r="FW184" s="211"/>
      <c r="FX184" s="211"/>
      <c r="FY184" s="211"/>
      <c r="FZ184" s="211"/>
      <c r="GA184" s="211"/>
      <c r="GB184" s="211"/>
      <c r="GC184" s="211"/>
      <c r="GD184" s="211"/>
      <c r="GE184" s="211"/>
      <c r="GF184" s="211"/>
      <c r="GG184" s="211"/>
      <c r="GH184" s="211"/>
      <c r="GI184" s="211"/>
      <c r="GJ184" s="211"/>
      <c r="GK184" s="211"/>
      <c r="GL184" s="211"/>
      <c r="GM184" s="211"/>
      <c r="GN184" s="211"/>
      <c r="GO184" s="211"/>
      <c r="GP184" s="211"/>
      <c r="GQ184" s="211"/>
      <c r="GR184" s="211"/>
      <c r="GS184" s="211"/>
      <c r="GT184" s="211"/>
      <c r="GU184" s="211"/>
      <c r="GV184" s="211"/>
      <c r="GW184" s="211"/>
      <c r="GX184" s="211"/>
      <c r="GY184" s="211"/>
      <c r="GZ184" s="211"/>
      <c r="HA184" s="211"/>
      <c r="HB184" s="211"/>
      <c r="HC184" s="211"/>
      <c r="HD184" s="211"/>
      <c r="HE184" s="211"/>
      <c r="HF184" s="211"/>
      <c r="HG184" s="211"/>
      <c r="HH184" s="211"/>
      <c r="HI184" s="211"/>
      <c r="HJ184" s="211"/>
      <c r="HK184" s="211"/>
      <c r="HL184" s="211"/>
      <c r="HM184" s="211"/>
      <c r="HN184" s="211"/>
      <c r="HO184" s="211"/>
      <c r="HP184" s="211"/>
      <c r="HQ184" s="211"/>
      <c r="HR184" s="211"/>
      <c r="HS184" s="211"/>
      <c r="HT184" s="211"/>
      <c r="HU184" s="211"/>
      <c r="HV184" s="211"/>
      <c r="HW184" s="211"/>
      <c r="HX184" s="211"/>
      <c r="HY184" s="211"/>
      <c r="HZ184" s="211"/>
      <c r="IA184" s="211"/>
      <c r="IB184" s="211"/>
      <c r="IC184" s="211"/>
      <c r="ID184" s="211"/>
      <c r="IE184" s="211"/>
      <c r="IF184" s="211"/>
      <c r="IG184" s="211"/>
      <c r="IH184" s="211"/>
      <c r="II184" s="211"/>
      <c r="IJ184" s="211"/>
      <c r="IK184" s="211"/>
      <c r="IL184" s="211"/>
      <c r="IM184" s="211"/>
      <c r="IN184" s="211"/>
      <c r="IO184" s="211"/>
      <c r="IP184" s="211"/>
      <c r="IQ184" s="211"/>
      <c r="IR184" s="211"/>
      <c r="IS184" s="211"/>
      <c r="IT184" s="211"/>
      <c r="IU184" s="211"/>
      <c r="IV184" s="211"/>
    </row>
    <row r="185" spans="1:256" s="219" customFormat="1" ht="8.25" customHeight="1" x14ac:dyDescent="0.2">
      <c r="A185" s="200"/>
      <c r="B185" s="82"/>
      <c r="C185" s="200"/>
      <c r="D185" s="200"/>
      <c r="E185" s="200"/>
      <c r="F185" s="200"/>
      <c r="G185" s="200"/>
      <c r="H185" s="1008"/>
      <c r="I185" s="1169"/>
      <c r="J185" s="1169"/>
      <c r="K185" s="1169"/>
      <c r="L185" s="1169"/>
      <c r="M185" s="1169"/>
      <c r="N185" s="1169"/>
      <c r="O185" s="1169"/>
      <c r="P185" s="1169"/>
      <c r="Q185" s="1169"/>
      <c r="R185" s="1169"/>
      <c r="S185" s="1169"/>
      <c r="T185" s="1169"/>
      <c r="U185" s="1169"/>
      <c r="V185" s="1169"/>
      <c r="W185" s="1169"/>
      <c r="X185" s="1169"/>
      <c r="Y185" s="1169"/>
      <c r="Z185" s="1169"/>
      <c r="AA185" s="82"/>
      <c r="AB185" s="82"/>
      <c r="AC185" s="82"/>
      <c r="AD185" s="82"/>
      <c r="AE185" s="82"/>
      <c r="AF185" s="82"/>
      <c r="AG185" s="82"/>
      <c r="AH185" s="82"/>
      <c r="AI185" s="82"/>
      <c r="AJ185" s="82"/>
      <c r="AK185" s="82"/>
      <c r="AL185" s="82"/>
      <c r="AM185" s="82"/>
      <c r="AN185" s="82"/>
      <c r="AO185" s="82"/>
      <c r="AP185" s="82"/>
      <c r="AQ185" s="82"/>
      <c r="AR185" s="82"/>
      <c r="AS185" s="82"/>
      <c r="AT185" s="82"/>
      <c r="AU185" s="82"/>
      <c r="AV185" s="82"/>
      <c r="AW185" s="82"/>
      <c r="AX185" s="82"/>
      <c r="AY185" s="82"/>
      <c r="AZ185" s="82"/>
      <c r="BA185" s="82"/>
      <c r="BB185" s="82"/>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82"/>
      <c r="CR185" s="82"/>
      <c r="CS185" s="82"/>
      <c r="CT185" s="82"/>
      <c r="CU185" s="82"/>
      <c r="CV185" s="82"/>
      <c r="CW185" s="82"/>
      <c r="CX185" s="82"/>
      <c r="CY185" s="82"/>
      <c r="CZ185" s="82"/>
      <c r="DA185" s="82"/>
      <c r="DB185" s="82"/>
      <c r="DC185" s="82"/>
      <c r="DD185" s="82"/>
      <c r="DE185" s="82"/>
      <c r="DF185" s="82"/>
      <c r="DG185" s="82"/>
      <c r="DH185" s="82"/>
      <c r="DI185" s="82"/>
      <c r="DJ185" s="82"/>
      <c r="DK185" s="82"/>
      <c r="DL185" s="82"/>
      <c r="DM185" s="82"/>
      <c r="DN185" s="82"/>
      <c r="DO185" s="82"/>
      <c r="DP185" s="82"/>
      <c r="DQ185" s="82"/>
      <c r="DR185" s="82"/>
      <c r="DS185" s="82"/>
      <c r="DT185" s="82"/>
      <c r="DU185" s="82"/>
      <c r="DV185" s="82"/>
      <c r="DW185" s="82"/>
      <c r="DX185" s="82"/>
      <c r="DY185" s="82"/>
      <c r="DZ185" s="82"/>
      <c r="EA185" s="82"/>
      <c r="EB185" s="82"/>
      <c r="EC185" s="82"/>
      <c r="ED185" s="82"/>
      <c r="EE185" s="82"/>
      <c r="EF185" s="82"/>
      <c r="EG185" s="82"/>
      <c r="EH185" s="82"/>
      <c r="EI185" s="82"/>
      <c r="EJ185" s="82"/>
      <c r="EK185" s="82"/>
      <c r="EL185" s="82"/>
      <c r="EM185" s="82"/>
      <c r="EN185" s="82"/>
      <c r="EO185" s="82"/>
      <c r="EP185" s="82"/>
      <c r="EQ185" s="82"/>
      <c r="ER185" s="82"/>
      <c r="ES185" s="82"/>
      <c r="ET185" s="82"/>
      <c r="EU185" s="82"/>
      <c r="EV185" s="82"/>
      <c r="EW185" s="82"/>
      <c r="EX185" s="82"/>
      <c r="EY185" s="82"/>
      <c r="EZ185" s="82"/>
      <c r="FA185" s="82"/>
      <c r="FB185" s="82"/>
      <c r="FC185" s="82"/>
      <c r="FD185" s="82"/>
      <c r="FE185" s="82"/>
      <c r="FF185" s="82"/>
      <c r="FG185" s="82"/>
      <c r="FH185" s="82"/>
      <c r="FI185" s="82"/>
      <c r="FJ185" s="82"/>
      <c r="FK185" s="82"/>
      <c r="FL185" s="82"/>
      <c r="FM185" s="82"/>
      <c r="FN185" s="82"/>
      <c r="FO185" s="82"/>
      <c r="FP185" s="82"/>
      <c r="FQ185" s="82"/>
      <c r="FR185" s="82"/>
      <c r="FS185" s="82"/>
      <c r="FT185" s="82"/>
      <c r="FU185" s="82"/>
      <c r="FV185" s="82"/>
      <c r="FW185" s="82"/>
      <c r="FX185" s="82"/>
      <c r="FY185" s="82"/>
      <c r="FZ185" s="82"/>
      <c r="GA185" s="82"/>
      <c r="GB185" s="82"/>
      <c r="GC185" s="82"/>
      <c r="GD185" s="82"/>
      <c r="GE185" s="82"/>
      <c r="GF185" s="82"/>
      <c r="GG185" s="82"/>
      <c r="GH185" s="82"/>
      <c r="GI185" s="82"/>
      <c r="GJ185" s="82"/>
      <c r="GK185" s="82"/>
      <c r="GL185" s="82"/>
      <c r="GM185" s="82"/>
      <c r="GN185" s="82"/>
      <c r="GO185" s="82"/>
      <c r="GP185" s="82"/>
      <c r="GQ185" s="82"/>
      <c r="GR185" s="82"/>
      <c r="GS185" s="82"/>
      <c r="GT185" s="82"/>
      <c r="GU185" s="82"/>
      <c r="GV185" s="82"/>
      <c r="GW185" s="82"/>
      <c r="GX185" s="82"/>
      <c r="GY185" s="82"/>
      <c r="GZ185" s="82"/>
      <c r="HA185" s="82"/>
      <c r="HB185" s="82"/>
      <c r="HC185" s="82"/>
      <c r="HD185" s="82"/>
      <c r="HE185" s="82"/>
      <c r="HF185" s="82"/>
      <c r="HG185" s="82"/>
      <c r="HH185" s="82"/>
      <c r="HI185" s="82"/>
      <c r="HJ185" s="82"/>
      <c r="HK185" s="82"/>
      <c r="HL185" s="82"/>
      <c r="HM185" s="82"/>
      <c r="HN185" s="82"/>
      <c r="HO185" s="82"/>
      <c r="HP185" s="82"/>
      <c r="HQ185" s="82"/>
      <c r="HR185" s="82"/>
      <c r="HS185" s="82"/>
      <c r="HT185" s="82"/>
      <c r="HU185" s="82"/>
      <c r="HV185" s="82"/>
      <c r="HW185" s="82"/>
      <c r="HX185" s="82"/>
      <c r="HY185" s="82"/>
      <c r="HZ185" s="82"/>
      <c r="IA185" s="82"/>
      <c r="IB185" s="82"/>
      <c r="IC185" s="82"/>
      <c r="ID185" s="82"/>
      <c r="IE185" s="82"/>
      <c r="IF185" s="82"/>
      <c r="IG185" s="82"/>
      <c r="IH185" s="82"/>
      <c r="II185" s="82"/>
      <c r="IJ185" s="82"/>
      <c r="IK185" s="82"/>
      <c r="IL185" s="82"/>
      <c r="IM185" s="82"/>
      <c r="IN185" s="82"/>
      <c r="IO185" s="82"/>
      <c r="IP185" s="82"/>
      <c r="IQ185" s="82"/>
      <c r="IR185" s="82"/>
      <c r="IS185" s="82"/>
      <c r="IT185" s="82"/>
      <c r="IU185" s="82"/>
      <c r="IV185" s="82"/>
    </row>
    <row r="186" spans="1:256" s="219" customFormat="1" ht="9" customHeight="1" x14ac:dyDescent="0.2">
      <c r="A186" s="592"/>
      <c r="B186" s="199"/>
      <c r="C186" s="199"/>
      <c r="D186" s="199"/>
      <c r="E186" s="593"/>
      <c r="F186" s="593"/>
      <c r="G186" s="588"/>
      <c r="H186" s="1008"/>
      <c r="I186" s="1169"/>
      <c r="J186" s="1169"/>
      <c r="K186" s="1169"/>
      <c r="L186" s="1169"/>
      <c r="M186" s="1169"/>
      <c r="N186" s="1169"/>
      <c r="O186" s="1169"/>
      <c r="P186" s="1169"/>
      <c r="Q186" s="1169"/>
      <c r="R186" s="1169"/>
      <c r="S186" s="1169"/>
      <c r="T186" s="1169"/>
      <c r="U186" s="1169"/>
      <c r="V186" s="1169"/>
      <c r="W186" s="1169"/>
      <c r="X186" s="1169"/>
      <c r="Y186" s="1169"/>
      <c r="Z186" s="1169"/>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82"/>
      <c r="BA186" s="82"/>
      <c r="BB186" s="82"/>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82"/>
      <c r="CR186" s="82"/>
      <c r="CS186" s="82"/>
      <c r="CT186" s="82"/>
      <c r="CU186" s="82"/>
      <c r="CV186" s="82"/>
      <c r="CW186" s="82"/>
      <c r="CX186" s="82"/>
      <c r="CY186" s="82"/>
      <c r="CZ186" s="82"/>
      <c r="DA186" s="82"/>
      <c r="DB186" s="82"/>
      <c r="DC186" s="82"/>
      <c r="DD186" s="82"/>
      <c r="DE186" s="82"/>
      <c r="DF186" s="82"/>
      <c r="DG186" s="82"/>
      <c r="DH186" s="82"/>
      <c r="DI186" s="82"/>
      <c r="DJ186" s="82"/>
      <c r="DK186" s="82"/>
      <c r="DL186" s="82"/>
      <c r="DM186" s="82"/>
      <c r="DN186" s="82"/>
      <c r="DO186" s="82"/>
      <c r="DP186" s="82"/>
      <c r="DQ186" s="82"/>
      <c r="DR186" s="82"/>
      <c r="DS186" s="82"/>
      <c r="DT186" s="82"/>
      <c r="DU186" s="82"/>
      <c r="DV186" s="82"/>
      <c r="DW186" s="82"/>
      <c r="DX186" s="82"/>
      <c r="DY186" s="82"/>
      <c r="DZ186" s="82"/>
      <c r="EA186" s="82"/>
      <c r="EB186" s="82"/>
      <c r="EC186" s="82"/>
      <c r="ED186" s="82"/>
      <c r="EE186" s="82"/>
      <c r="EF186" s="82"/>
      <c r="EG186" s="82"/>
      <c r="EH186" s="82"/>
      <c r="EI186" s="82"/>
      <c r="EJ186" s="82"/>
      <c r="EK186" s="82"/>
      <c r="EL186" s="82"/>
      <c r="EM186" s="82"/>
      <c r="EN186" s="82"/>
      <c r="EO186" s="82"/>
      <c r="EP186" s="82"/>
      <c r="EQ186" s="82"/>
      <c r="ER186" s="82"/>
      <c r="ES186" s="82"/>
      <c r="ET186" s="82"/>
      <c r="EU186" s="82"/>
      <c r="EV186" s="82"/>
      <c r="EW186" s="82"/>
      <c r="EX186" s="82"/>
      <c r="EY186" s="82"/>
      <c r="EZ186" s="82"/>
      <c r="FA186" s="82"/>
      <c r="FB186" s="82"/>
      <c r="FC186" s="82"/>
      <c r="FD186" s="82"/>
      <c r="FE186" s="82"/>
      <c r="FF186" s="82"/>
      <c r="FG186" s="82"/>
      <c r="FH186" s="82"/>
      <c r="FI186" s="82"/>
      <c r="FJ186" s="82"/>
      <c r="FK186" s="82"/>
      <c r="FL186" s="82"/>
      <c r="FM186" s="82"/>
      <c r="FN186" s="82"/>
      <c r="FO186" s="82"/>
      <c r="FP186" s="82"/>
      <c r="FQ186" s="82"/>
      <c r="FR186" s="82"/>
      <c r="FS186" s="82"/>
      <c r="FT186" s="82"/>
      <c r="FU186" s="82"/>
      <c r="FV186" s="82"/>
      <c r="FW186" s="82"/>
      <c r="FX186" s="82"/>
      <c r="FY186" s="82"/>
      <c r="FZ186" s="82"/>
      <c r="GA186" s="82"/>
      <c r="GB186" s="82"/>
      <c r="GC186" s="82"/>
      <c r="GD186" s="82"/>
      <c r="GE186" s="82"/>
      <c r="GF186" s="82"/>
      <c r="GG186" s="82"/>
      <c r="GH186" s="82"/>
      <c r="GI186" s="82"/>
      <c r="GJ186" s="82"/>
      <c r="GK186" s="82"/>
      <c r="GL186" s="82"/>
      <c r="GM186" s="82"/>
      <c r="GN186" s="82"/>
      <c r="GO186" s="82"/>
      <c r="GP186" s="82"/>
      <c r="GQ186" s="82"/>
      <c r="GR186" s="82"/>
      <c r="GS186" s="82"/>
      <c r="GT186" s="82"/>
      <c r="GU186" s="82"/>
      <c r="GV186" s="82"/>
      <c r="GW186" s="82"/>
      <c r="GX186" s="82"/>
      <c r="GY186" s="82"/>
      <c r="GZ186" s="82"/>
      <c r="HA186" s="82"/>
      <c r="HB186" s="82"/>
      <c r="HC186" s="82"/>
      <c r="HD186" s="82"/>
      <c r="HE186" s="82"/>
      <c r="HF186" s="82"/>
      <c r="HG186" s="82"/>
      <c r="HH186" s="82"/>
      <c r="HI186" s="82"/>
      <c r="HJ186" s="82"/>
      <c r="HK186" s="82"/>
      <c r="HL186" s="82"/>
      <c r="HM186" s="82"/>
      <c r="HN186" s="82"/>
      <c r="HO186" s="82"/>
      <c r="HP186" s="82"/>
      <c r="HQ186" s="82"/>
      <c r="HR186" s="82"/>
      <c r="HS186" s="82"/>
      <c r="HT186" s="82"/>
      <c r="HU186" s="82"/>
      <c r="HV186" s="82"/>
      <c r="HW186" s="82"/>
      <c r="HX186" s="82"/>
      <c r="HY186" s="82"/>
      <c r="HZ186" s="82"/>
      <c r="IA186" s="82"/>
      <c r="IB186" s="82"/>
      <c r="IC186" s="82"/>
      <c r="ID186" s="82"/>
      <c r="IE186" s="82"/>
      <c r="IF186" s="82"/>
      <c r="IG186" s="82"/>
      <c r="IH186" s="82"/>
      <c r="II186" s="82"/>
      <c r="IJ186" s="82"/>
      <c r="IK186" s="82"/>
      <c r="IL186" s="82"/>
      <c r="IM186" s="82"/>
      <c r="IN186" s="82"/>
      <c r="IO186" s="82"/>
      <c r="IP186" s="82"/>
      <c r="IQ186" s="82"/>
      <c r="IR186" s="82"/>
      <c r="IS186" s="82"/>
      <c r="IT186" s="82"/>
      <c r="IU186" s="82"/>
      <c r="IV186" s="82"/>
    </row>
    <row r="187" spans="1:256" s="209" customFormat="1" ht="16.5" customHeight="1" x14ac:dyDescent="0.2">
      <c r="A187" s="704" t="s">
        <v>418</v>
      </c>
      <c r="B187" s="212"/>
      <c r="C187" s="212"/>
      <c r="D187" s="212"/>
      <c r="E187" s="212"/>
      <c r="F187" s="212"/>
      <c r="G187" s="211"/>
      <c r="H187" s="777"/>
      <c r="I187" s="777"/>
      <c r="J187" s="777"/>
      <c r="K187" s="777"/>
      <c r="L187" s="777"/>
      <c r="M187" s="777"/>
      <c r="N187" s="777"/>
      <c r="O187" s="777"/>
      <c r="P187" s="777"/>
      <c r="Q187" s="777"/>
      <c r="R187" s="777"/>
      <c r="S187" s="777"/>
      <c r="T187" s="777"/>
      <c r="U187" s="777"/>
      <c r="V187" s="777"/>
      <c r="W187" s="777"/>
      <c r="X187" s="777"/>
      <c r="Y187" s="777"/>
      <c r="Z187" s="777"/>
      <c r="AA187" s="211"/>
      <c r="AB187" s="211"/>
      <c r="AC187" s="211"/>
      <c r="AD187" s="211"/>
      <c r="AE187" s="211"/>
      <c r="AF187" s="211"/>
      <c r="AG187" s="211"/>
      <c r="AH187" s="211"/>
      <c r="AI187" s="211"/>
      <c r="AJ187" s="211"/>
      <c r="AK187" s="211"/>
      <c r="AL187" s="211"/>
      <c r="AM187" s="211"/>
      <c r="AN187" s="211"/>
      <c r="AO187" s="211"/>
      <c r="AP187" s="211"/>
      <c r="AQ187" s="211"/>
      <c r="AR187" s="211"/>
      <c r="AS187" s="211"/>
      <c r="AT187" s="211"/>
      <c r="AU187" s="211"/>
      <c r="AV187" s="211"/>
      <c r="AW187" s="211"/>
      <c r="AX187" s="211"/>
      <c r="AY187" s="211"/>
      <c r="AZ187" s="211"/>
      <c r="BA187" s="211"/>
      <c r="BB187" s="211"/>
      <c r="BC187" s="211"/>
      <c r="BD187" s="211"/>
      <c r="BE187" s="211"/>
      <c r="BF187" s="211"/>
      <c r="BG187" s="211"/>
      <c r="BH187" s="211"/>
      <c r="BI187" s="211"/>
      <c r="BJ187" s="211"/>
      <c r="BK187" s="211"/>
      <c r="BL187" s="211"/>
      <c r="BM187" s="211"/>
      <c r="BN187" s="211"/>
      <c r="BO187" s="211"/>
      <c r="BP187" s="211"/>
      <c r="BQ187" s="211"/>
      <c r="BR187" s="211"/>
      <c r="BS187" s="211"/>
      <c r="BT187" s="211"/>
      <c r="BU187" s="211"/>
      <c r="BV187" s="211"/>
      <c r="BW187" s="211"/>
      <c r="BX187" s="211"/>
      <c r="BY187" s="211"/>
      <c r="BZ187" s="211"/>
      <c r="CA187" s="211"/>
      <c r="CB187" s="211"/>
      <c r="CC187" s="211"/>
      <c r="CD187" s="211"/>
      <c r="CE187" s="211"/>
      <c r="CF187" s="211"/>
      <c r="CG187" s="211"/>
      <c r="CH187" s="211"/>
      <c r="CI187" s="211"/>
      <c r="CJ187" s="211"/>
      <c r="CK187" s="211"/>
      <c r="CL187" s="211"/>
      <c r="CM187" s="211"/>
      <c r="CN187" s="211"/>
      <c r="CO187" s="211"/>
      <c r="CP187" s="211"/>
      <c r="CQ187" s="211"/>
      <c r="CR187" s="211"/>
      <c r="CS187" s="211"/>
      <c r="CT187" s="211"/>
      <c r="CU187" s="211"/>
      <c r="CV187" s="211"/>
      <c r="CW187" s="211"/>
      <c r="CX187" s="211"/>
      <c r="CY187" s="211"/>
      <c r="CZ187" s="211"/>
      <c r="DA187" s="211"/>
      <c r="DB187" s="211"/>
      <c r="DC187" s="211"/>
      <c r="DD187" s="211"/>
      <c r="DE187" s="211"/>
      <c r="DF187" s="211"/>
      <c r="DG187" s="211"/>
      <c r="DH187" s="211"/>
      <c r="DI187" s="211"/>
      <c r="DJ187" s="211"/>
      <c r="DK187" s="211"/>
      <c r="DL187" s="211"/>
      <c r="DM187" s="211"/>
      <c r="DN187" s="211"/>
      <c r="DO187" s="211"/>
      <c r="DP187" s="211"/>
      <c r="DQ187" s="211"/>
      <c r="DR187" s="211"/>
      <c r="DS187" s="211"/>
      <c r="DT187" s="211"/>
      <c r="DU187" s="211"/>
      <c r="DV187" s="211"/>
      <c r="DW187" s="211"/>
      <c r="DX187" s="211"/>
      <c r="DY187" s="211"/>
      <c r="DZ187" s="211"/>
      <c r="EA187" s="211"/>
      <c r="EB187" s="211"/>
      <c r="EC187" s="211"/>
      <c r="ED187" s="211"/>
      <c r="EE187" s="211"/>
      <c r="EF187" s="211"/>
      <c r="EG187" s="211"/>
      <c r="EH187" s="211"/>
      <c r="EI187" s="211"/>
      <c r="EJ187" s="211"/>
      <c r="EK187" s="211"/>
      <c r="EL187" s="211"/>
      <c r="EM187" s="211"/>
      <c r="EN187" s="211"/>
      <c r="EO187" s="211"/>
      <c r="EP187" s="211"/>
      <c r="EQ187" s="211"/>
      <c r="ER187" s="211"/>
      <c r="ES187" s="211"/>
      <c r="ET187" s="211"/>
      <c r="EU187" s="211"/>
      <c r="EV187" s="211"/>
      <c r="EW187" s="211"/>
      <c r="EX187" s="211"/>
      <c r="EY187" s="211"/>
      <c r="EZ187" s="211"/>
      <c r="FA187" s="211"/>
      <c r="FB187" s="211"/>
      <c r="FC187" s="211"/>
      <c r="FD187" s="211"/>
      <c r="FE187" s="211"/>
      <c r="FF187" s="211"/>
      <c r="FG187" s="211"/>
      <c r="FH187" s="211"/>
      <c r="FI187" s="211"/>
      <c r="FJ187" s="211"/>
      <c r="FK187" s="211"/>
      <c r="FL187" s="211"/>
      <c r="FM187" s="211"/>
      <c r="FN187" s="211"/>
      <c r="FO187" s="211"/>
      <c r="FP187" s="211"/>
      <c r="FQ187" s="211"/>
      <c r="FR187" s="211"/>
      <c r="FS187" s="211"/>
      <c r="FT187" s="211"/>
      <c r="FU187" s="211"/>
      <c r="FV187" s="211"/>
      <c r="FW187" s="211"/>
      <c r="FX187" s="211"/>
      <c r="FY187" s="211"/>
      <c r="FZ187" s="211"/>
      <c r="GA187" s="211"/>
      <c r="GB187" s="211"/>
      <c r="GC187" s="211"/>
      <c r="GD187" s="211"/>
      <c r="GE187" s="211"/>
      <c r="GF187" s="211"/>
      <c r="GG187" s="211"/>
      <c r="GH187" s="211"/>
      <c r="GI187" s="211"/>
      <c r="GJ187" s="211"/>
      <c r="GK187" s="211"/>
      <c r="GL187" s="211"/>
      <c r="GM187" s="211"/>
      <c r="GN187" s="211"/>
      <c r="GO187" s="211"/>
      <c r="GP187" s="211"/>
      <c r="GQ187" s="211"/>
      <c r="GR187" s="211"/>
      <c r="GS187" s="211"/>
      <c r="GT187" s="211"/>
      <c r="GU187" s="211"/>
      <c r="GV187" s="211"/>
      <c r="GW187" s="211"/>
      <c r="GX187" s="211"/>
      <c r="GY187" s="211"/>
      <c r="GZ187" s="211"/>
      <c r="HA187" s="211"/>
      <c r="HB187" s="211"/>
      <c r="HC187" s="211"/>
      <c r="HD187" s="211"/>
      <c r="HE187" s="211"/>
      <c r="HF187" s="211"/>
      <c r="HG187" s="211"/>
      <c r="HH187" s="211"/>
      <c r="HI187" s="211"/>
      <c r="HJ187" s="211"/>
      <c r="HK187" s="211"/>
      <c r="HL187" s="211"/>
      <c r="HM187" s="211"/>
      <c r="HN187" s="211"/>
      <c r="HO187" s="211"/>
      <c r="HP187" s="211"/>
      <c r="HQ187" s="211"/>
      <c r="HR187" s="211"/>
      <c r="HS187" s="211"/>
      <c r="HT187" s="211"/>
      <c r="HU187" s="211"/>
      <c r="HV187" s="211"/>
      <c r="HW187" s="211"/>
      <c r="HX187" s="211"/>
      <c r="HY187" s="211"/>
      <c r="HZ187" s="211"/>
      <c r="IA187" s="211"/>
      <c r="IB187" s="211"/>
      <c r="IC187" s="211"/>
      <c r="ID187" s="211"/>
      <c r="IE187" s="211"/>
      <c r="IF187" s="211"/>
      <c r="IG187" s="211"/>
      <c r="IH187" s="211"/>
      <c r="II187" s="211"/>
      <c r="IJ187" s="211"/>
      <c r="IK187" s="211"/>
      <c r="IL187" s="211"/>
      <c r="IM187" s="211"/>
      <c r="IN187" s="211"/>
      <c r="IO187" s="211"/>
      <c r="IP187" s="211"/>
      <c r="IQ187" s="211"/>
      <c r="IR187" s="211"/>
      <c r="IS187" s="211"/>
      <c r="IT187" s="211"/>
      <c r="IU187" s="211"/>
      <c r="IV187" s="211"/>
    </row>
    <row r="188" spans="1:256" s="209" customFormat="1" ht="16.5" customHeight="1" x14ac:dyDescent="0.2">
      <c r="A188" s="704" t="s">
        <v>483</v>
      </c>
      <c r="B188" s="212"/>
      <c r="C188" s="212"/>
      <c r="D188" s="212"/>
      <c r="E188" s="212"/>
      <c r="F188" s="212"/>
      <c r="G188" s="211"/>
      <c r="H188" s="777"/>
      <c r="I188" s="777"/>
      <c r="J188" s="777"/>
      <c r="K188" s="777"/>
      <c r="L188" s="777"/>
      <c r="M188" s="777"/>
      <c r="N188" s="777"/>
      <c r="O188" s="777"/>
      <c r="P188" s="777"/>
      <c r="Q188" s="777"/>
      <c r="R188" s="777"/>
      <c r="S188" s="777"/>
      <c r="T188" s="777"/>
      <c r="U188" s="777"/>
      <c r="V188" s="777"/>
      <c r="W188" s="777"/>
      <c r="X188" s="777"/>
      <c r="Y188" s="777"/>
      <c r="Z188" s="777"/>
      <c r="AA188" s="211"/>
      <c r="AB188" s="211"/>
      <c r="AC188" s="211"/>
      <c r="AD188" s="211"/>
      <c r="AE188" s="211"/>
      <c r="AF188" s="211"/>
      <c r="AG188" s="211"/>
      <c r="AH188" s="211"/>
      <c r="AI188" s="211"/>
      <c r="AJ188" s="211"/>
      <c r="AK188" s="211"/>
      <c r="AL188" s="211"/>
      <c r="AM188" s="211"/>
      <c r="AN188" s="211"/>
      <c r="AO188" s="211"/>
      <c r="AP188" s="211"/>
      <c r="AQ188" s="211"/>
      <c r="AR188" s="211"/>
      <c r="AS188" s="211"/>
      <c r="AT188" s="211"/>
      <c r="AU188" s="211"/>
      <c r="AV188" s="211"/>
      <c r="AW188" s="211"/>
      <c r="AX188" s="211"/>
      <c r="AY188" s="211"/>
      <c r="AZ188" s="211"/>
      <c r="BA188" s="211"/>
      <c r="BB188" s="211"/>
      <c r="BC188" s="211"/>
      <c r="BD188" s="211"/>
      <c r="BE188" s="211"/>
      <c r="BF188" s="211"/>
      <c r="BG188" s="211"/>
      <c r="BH188" s="211"/>
      <c r="BI188" s="211"/>
      <c r="BJ188" s="211"/>
      <c r="BK188" s="211"/>
      <c r="BL188" s="211"/>
      <c r="BM188" s="211"/>
      <c r="BN188" s="211"/>
      <c r="BO188" s="211"/>
      <c r="BP188" s="211"/>
      <c r="BQ188" s="211"/>
      <c r="BR188" s="211"/>
      <c r="BS188" s="211"/>
      <c r="BT188" s="211"/>
      <c r="BU188" s="211"/>
      <c r="BV188" s="211"/>
      <c r="BW188" s="211"/>
      <c r="BX188" s="211"/>
      <c r="BY188" s="211"/>
      <c r="BZ188" s="211"/>
      <c r="CA188" s="211"/>
      <c r="CB188" s="211"/>
      <c r="CC188" s="211"/>
      <c r="CD188" s="211"/>
      <c r="CE188" s="211"/>
      <c r="CF188" s="211"/>
      <c r="CG188" s="211"/>
      <c r="CH188" s="211"/>
      <c r="CI188" s="211"/>
      <c r="CJ188" s="211"/>
      <c r="CK188" s="211"/>
      <c r="CL188" s="211"/>
      <c r="CM188" s="211"/>
      <c r="CN188" s="211"/>
      <c r="CO188" s="211"/>
      <c r="CP188" s="211"/>
      <c r="CQ188" s="211"/>
      <c r="CR188" s="211"/>
      <c r="CS188" s="211"/>
      <c r="CT188" s="211"/>
      <c r="CU188" s="211"/>
      <c r="CV188" s="211"/>
      <c r="CW188" s="211"/>
      <c r="CX188" s="211"/>
      <c r="CY188" s="211"/>
      <c r="CZ188" s="211"/>
      <c r="DA188" s="211"/>
      <c r="DB188" s="211"/>
      <c r="DC188" s="211"/>
      <c r="DD188" s="211"/>
      <c r="DE188" s="211"/>
      <c r="DF188" s="211"/>
      <c r="DG188" s="211"/>
      <c r="DH188" s="211"/>
      <c r="DI188" s="211"/>
      <c r="DJ188" s="211"/>
      <c r="DK188" s="211"/>
      <c r="DL188" s="211"/>
      <c r="DM188" s="211"/>
      <c r="DN188" s="211"/>
      <c r="DO188" s="211"/>
      <c r="DP188" s="211"/>
      <c r="DQ188" s="211"/>
      <c r="DR188" s="211"/>
      <c r="DS188" s="211"/>
      <c r="DT188" s="211"/>
      <c r="DU188" s="211"/>
      <c r="DV188" s="211"/>
      <c r="DW188" s="211"/>
      <c r="DX188" s="211"/>
      <c r="DY188" s="211"/>
      <c r="DZ188" s="211"/>
      <c r="EA188" s="211"/>
      <c r="EB188" s="211"/>
      <c r="EC188" s="211"/>
      <c r="ED188" s="211"/>
      <c r="EE188" s="211"/>
      <c r="EF188" s="211"/>
      <c r="EG188" s="211"/>
      <c r="EH188" s="211"/>
      <c r="EI188" s="211"/>
      <c r="EJ188" s="211"/>
      <c r="EK188" s="211"/>
      <c r="EL188" s="211"/>
      <c r="EM188" s="211"/>
      <c r="EN188" s="211"/>
      <c r="EO188" s="211"/>
      <c r="EP188" s="211"/>
      <c r="EQ188" s="211"/>
      <c r="ER188" s="211"/>
      <c r="ES188" s="211"/>
      <c r="ET188" s="211"/>
      <c r="EU188" s="211"/>
      <c r="EV188" s="211"/>
      <c r="EW188" s="211"/>
      <c r="EX188" s="211"/>
      <c r="EY188" s="211"/>
      <c r="EZ188" s="211"/>
      <c r="FA188" s="211"/>
      <c r="FB188" s="211"/>
      <c r="FC188" s="211"/>
      <c r="FD188" s="211"/>
      <c r="FE188" s="211"/>
      <c r="FF188" s="211"/>
      <c r="FG188" s="211"/>
      <c r="FH188" s="211"/>
      <c r="FI188" s="211"/>
      <c r="FJ188" s="211"/>
      <c r="FK188" s="211"/>
      <c r="FL188" s="211"/>
      <c r="FM188" s="211"/>
      <c r="FN188" s="211"/>
      <c r="FO188" s="211"/>
      <c r="FP188" s="211"/>
      <c r="FQ188" s="211"/>
      <c r="FR188" s="211"/>
      <c r="FS188" s="211"/>
      <c r="FT188" s="211"/>
      <c r="FU188" s="211"/>
      <c r="FV188" s="211"/>
      <c r="FW188" s="211"/>
      <c r="FX188" s="211"/>
      <c r="FY188" s="211"/>
      <c r="FZ188" s="211"/>
      <c r="GA188" s="211"/>
      <c r="GB188" s="211"/>
      <c r="GC188" s="211"/>
      <c r="GD188" s="211"/>
      <c r="GE188" s="211"/>
      <c r="GF188" s="211"/>
      <c r="GG188" s="211"/>
      <c r="GH188" s="211"/>
      <c r="GI188" s="211"/>
      <c r="GJ188" s="211"/>
      <c r="GK188" s="211"/>
      <c r="GL188" s="211"/>
      <c r="GM188" s="211"/>
      <c r="GN188" s="211"/>
      <c r="GO188" s="211"/>
      <c r="GP188" s="211"/>
      <c r="GQ188" s="211"/>
      <c r="GR188" s="211"/>
      <c r="GS188" s="211"/>
      <c r="GT188" s="211"/>
      <c r="GU188" s="211"/>
      <c r="GV188" s="211"/>
      <c r="GW188" s="211"/>
      <c r="GX188" s="211"/>
      <c r="GY188" s="211"/>
      <c r="GZ188" s="211"/>
      <c r="HA188" s="211"/>
      <c r="HB188" s="211"/>
      <c r="HC188" s="211"/>
      <c r="HD188" s="211"/>
      <c r="HE188" s="211"/>
      <c r="HF188" s="211"/>
      <c r="HG188" s="211"/>
      <c r="HH188" s="211"/>
      <c r="HI188" s="211"/>
      <c r="HJ188" s="211"/>
      <c r="HK188" s="211"/>
      <c r="HL188" s="211"/>
      <c r="HM188" s="211"/>
      <c r="HN188" s="211"/>
      <c r="HO188" s="211"/>
      <c r="HP188" s="211"/>
      <c r="HQ188" s="211"/>
      <c r="HR188" s="211"/>
      <c r="HS188" s="211"/>
      <c r="HT188" s="211"/>
      <c r="HU188" s="211"/>
      <c r="HV188" s="211"/>
      <c r="HW188" s="211"/>
      <c r="HX188" s="211"/>
      <c r="HY188" s="211"/>
      <c r="HZ188" s="211"/>
      <c r="IA188" s="211"/>
      <c r="IB188" s="211"/>
      <c r="IC188" s="211"/>
      <c r="ID188" s="211"/>
      <c r="IE188" s="211"/>
      <c r="IF188" s="211"/>
      <c r="IG188" s="211"/>
      <c r="IH188" s="211"/>
      <c r="II188" s="211"/>
      <c r="IJ188" s="211"/>
      <c r="IK188" s="211"/>
      <c r="IL188" s="211"/>
      <c r="IM188" s="211"/>
      <c r="IN188" s="211"/>
      <c r="IO188" s="211"/>
      <c r="IP188" s="211"/>
      <c r="IQ188" s="211"/>
      <c r="IR188" s="211"/>
      <c r="IS188" s="211"/>
      <c r="IT188" s="211"/>
      <c r="IU188" s="211"/>
      <c r="IV188" s="211"/>
    </row>
    <row r="189" spans="1:256" s="176" customFormat="1" ht="16.5" customHeight="1" x14ac:dyDescent="0.2">
      <c r="A189" s="246" t="s">
        <v>241</v>
      </c>
      <c r="B189" s="597"/>
      <c r="C189" s="459" t="s">
        <v>493</v>
      </c>
      <c r="D189" s="459"/>
      <c r="E189" s="459"/>
      <c r="F189" s="460"/>
      <c r="G189" s="460"/>
      <c r="H189" s="1008"/>
      <c r="I189" s="1169"/>
      <c r="J189" s="1169"/>
      <c r="K189" s="1169"/>
      <c r="L189" s="1169"/>
      <c r="M189" s="1169"/>
      <c r="N189" s="1169"/>
      <c r="O189" s="1169"/>
      <c r="P189" s="1169"/>
      <c r="Q189" s="1169"/>
      <c r="R189" s="1169"/>
      <c r="S189" s="1169"/>
      <c r="T189" s="1169"/>
      <c r="U189" s="1169"/>
      <c r="V189" s="1169"/>
      <c r="W189" s="1169"/>
      <c r="X189" s="1169"/>
      <c r="Y189" s="1169"/>
      <c r="Z189" s="1169"/>
      <c r="AA189" s="82"/>
      <c r="AB189" s="82"/>
      <c r="AC189" s="82"/>
      <c r="AD189" s="82"/>
      <c r="AE189" s="82"/>
      <c r="AF189" s="82"/>
      <c r="AG189" s="82"/>
      <c r="AH189" s="82"/>
      <c r="AI189" s="82"/>
      <c r="AJ189" s="82"/>
      <c r="AK189" s="82"/>
      <c r="AL189" s="82"/>
      <c r="AM189" s="82"/>
      <c r="AN189" s="82"/>
      <c r="AO189" s="82"/>
      <c r="AP189" s="82"/>
      <c r="AQ189" s="82"/>
      <c r="AR189" s="82"/>
      <c r="AS189" s="82"/>
      <c r="AT189" s="82"/>
      <c r="AU189" s="82"/>
      <c r="AV189" s="82"/>
      <c r="AW189" s="82"/>
      <c r="AX189" s="82"/>
      <c r="AY189" s="82"/>
      <c r="AZ189" s="82"/>
      <c r="BA189" s="82"/>
      <c r="BB189" s="82"/>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82"/>
      <c r="CR189" s="82"/>
      <c r="CS189" s="82"/>
      <c r="CT189" s="82"/>
      <c r="CU189" s="82"/>
      <c r="CV189" s="82"/>
      <c r="CW189" s="82"/>
      <c r="CX189" s="82"/>
      <c r="CY189" s="82"/>
      <c r="CZ189" s="82"/>
      <c r="DA189" s="82"/>
      <c r="DB189" s="82"/>
      <c r="DC189" s="82"/>
      <c r="DD189" s="82"/>
      <c r="DE189" s="82"/>
      <c r="DF189" s="82"/>
      <c r="DG189" s="82"/>
      <c r="DH189" s="82"/>
      <c r="DI189" s="82"/>
      <c r="DJ189" s="82"/>
      <c r="DK189" s="82"/>
      <c r="DL189" s="82"/>
      <c r="DM189" s="82"/>
      <c r="DN189" s="82"/>
      <c r="DO189" s="82"/>
      <c r="DP189" s="82"/>
      <c r="DQ189" s="82"/>
      <c r="DR189" s="82"/>
      <c r="DS189" s="82"/>
      <c r="DT189" s="82"/>
      <c r="DU189" s="82"/>
      <c r="DV189" s="82"/>
      <c r="DW189" s="82"/>
      <c r="DX189" s="82"/>
      <c r="DY189" s="82"/>
      <c r="DZ189" s="82"/>
      <c r="EA189" s="82"/>
      <c r="EB189" s="82"/>
      <c r="EC189" s="82"/>
      <c r="ED189" s="82"/>
      <c r="EE189" s="82"/>
      <c r="EF189" s="82"/>
      <c r="EG189" s="82"/>
      <c r="EH189" s="82"/>
      <c r="EI189" s="82"/>
      <c r="EJ189" s="82"/>
      <c r="EK189" s="82"/>
      <c r="EL189" s="82"/>
      <c r="EM189" s="82"/>
      <c r="EN189" s="82"/>
      <c r="EO189" s="82"/>
      <c r="EP189" s="82"/>
      <c r="EQ189" s="82"/>
      <c r="ER189" s="82"/>
      <c r="ES189" s="82"/>
      <c r="ET189" s="82"/>
      <c r="EU189" s="82"/>
      <c r="EV189" s="82"/>
      <c r="EW189" s="82"/>
      <c r="EX189" s="82"/>
      <c r="EY189" s="82"/>
      <c r="EZ189" s="82"/>
      <c r="FA189" s="82"/>
      <c r="FB189" s="82"/>
      <c r="FC189" s="82"/>
      <c r="FD189" s="82"/>
      <c r="FE189" s="82"/>
      <c r="FF189" s="82"/>
      <c r="FG189" s="82"/>
      <c r="FH189" s="82"/>
      <c r="FI189" s="82"/>
      <c r="FJ189" s="82"/>
      <c r="FK189" s="82"/>
      <c r="FL189" s="82"/>
      <c r="FM189" s="82"/>
      <c r="FN189" s="82"/>
      <c r="FO189" s="82"/>
      <c r="FP189" s="82"/>
      <c r="FQ189" s="82"/>
      <c r="FR189" s="82"/>
      <c r="FS189" s="82"/>
      <c r="FT189" s="82"/>
      <c r="FU189" s="82"/>
      <c r="FV189" s="82"/>
      <c r="FW189" s="82"/>
      <c r="FX189" s="82"/>
      <c r="FY189" s="82"/>
      <c r="FZ189" s="82"/>
      <c r="GA189" s="82"/>
      <c r="GB189" s="82"/>
      <c r="GC189" s="82"/>
      <c r="GD189" s="82"/>
      <c r="GE189" s="82"/>
      <c r="GF189" s="82"/>
      <c r="GG189" s="82"/>
      <c r="GH189" s="82"/>
      <c r="GI189" s="82"/>
      <c r="GJ189" s="82"/>
      <c r="GK189" s="82"/>
      <c r="GL189" s="82"/>
      <c r="GM189" s="82"/>
      <c r="GN189" s="82"/>
      <c r="GO189" s="82"/>
      <c r="GP189" s="82"/>
      <c r="GQ189" s="82"/>
      <c r="GR189" s="82"/>
      <c r="GS189" s="82"/>
      <c r="GT189" s="82"/>
      <c r="GU189" s="82"/>
      <c r="GV189" s="82"/>
      <c r="GW189" s="82"/>
      <c r="GX189" s="82"/>
      <c r="GY189" s="82"/>
      <c r="GZ189" s="82"/>
      <c r="HA189" s="82"/>
      <c r="HB189" s="82"/>
      <c r="HC189" s="82"/>
      <c r="HD189" s="82"/>
      <c r="HE189" s="82"/>
      <c r="HF189" s="82"/>
      <c r="HG189" s="82"/>
      <c r="HH189" s="82"/>
      <c r="HI189" s="82"/>
      <c r="HJ189" s="82"/>
      <c r="HK189" s="82"/>
      <c r="HL189" s="82"/>
      <c r="HM189" s="82"/>
      <c r="HN189" s="82"/>
      <c r="HO189" s="82"/>
      <c r="HP189" s="82"/>
      <c r="HQ189" s="82"/>
      <c r="HR189" s="82"/>
      <c r="HS189" s="82"/>
      <c r="HT189" s="82"/>
      <c r="HU189" s="82"/>
      <c r="HV189" s="82"/>
      <c r="HW189" s="82"/>
      <c r="HX189" s="82"/>
      <c r="HY189" s="82"/>
      <c r="HZ189" s="82"/>
      <c r="IA189" s="82"/>
      <c r="IB189" s="82"/>
      <c r="IC189" s="82"/>
      <c r="ID189" s="82"/>
      <c r="IE189" s="82"/>
      <c r="IF189" s="82"/>
      <c r="IG189" s="82"/>
      <c r="IH189" s="82"/>
      <c r="II189" s="82"/>
      <c r="IJ189" s="82"/>
      <c r="IK189" s="82"/>
      <c r="IL189" s="82"/>
      <c r="IM189" s="82"/>
      <c r="IN189" s="82"/>
      <c r="IO189" s="82"/>
      <c r="IP189" s="82"/>
      <c r="IQ189" s="82"/>
      <c r="IR189" s="82"/>
      <c r="IS189" s="82"/>
      <c r="IT189" s="82"/>
      <c r="IU189" s="82"/>
      <c r="IV189" s="82"/>
    </row>
    <row r="190" spans="1:256" s="176" customFormat="1" ht="16.5" customHeight="1" x14ac:dyDescent="0.2">
      <c r="A190" s="594"/>
      <c r="B190" s="458"/>
      <c r="C190" s="461">
        <f>'Common-size FS'!C9</f>
        <v>2011</v>
      </c>
      <c r="D190" s="461">
        <f>C190+1</f>
        <v>2012</v>
      </c>
      <c r="E190" s="461">
        <f>D190+1</f>
        <v>2013</v>
      </c>
      <c r="F190" s="461">
        <f>E190+1</f>
        <v>2014</v>
      </c>
      <c r="G190" s="461">
        <f>F190+1</f>
        <v>2015</v>
      </c>
      <c r="H190" s="1008"/>
      <c r="I190" s="1169"/>
      <c r="J190" s="1169"/>
      <c r="K190" s="1169"/>
      <c r="L190" s="1169"/>
      <c r="M190" s="1169"/>
      <c r="N190" s="1169"/>
      <c r="O190" s="1169"/>
      <c r="P190" s="1169"/>
      <c r="Q190" s="1169"/>
      <c r="R190" s="1169"/>
      <c r="S190" s="1169"/>
      <c r="T190" s="1169"/>
      <c r="U190" s="1169"/>
      <c r="V190" s="1169"/>
      <c r="W190" s="1169"/>
      <c r="X190" s="1169"/>
      <c r="Y190" s="1169"/>
      <c r="Z190" s="1169"/>
      <c r="AA190" s="82"/>
      <c r="AB190" s="82"/>
      <c r="AC190" s="82"/>
      <c r="AD190" s="82"/>
      <c r="AE190" s="82"/>
      <c r="AF190" s="82"/>
      <c r="AG190" s="82"/>
      <c r="AH190" s="82"/>
      <c r="AI190" s="82"/>
      <c r="AJ190" s="82"/>
      <c r="AK190" s="82"/>
      <c r="AL190" s="82"/>
      <c r="AM190" s="82"/>
      <c r="AN190" s="82"/>
      <c r="AO190" s="82"/>
      <c r="AP190" s="82"/>
      <c r="AQ190" s="82"/>
      <c r="AR190" s="82"/>
      <c r="AS190" s="82"/>
      <c r="AT190" s="82"/>
      <c r="AU190" s="82"/>
      <c r="AV190" s="82"/>
      <c r="AW190" s="82"/>
      <c r="AX190" s="82"/>
      <c r="AY190" s="82"/>
      <c r="AZ190" s="82"/>
      <c r="BA190" s="82"/>
      <c r="BB190" s="82"/>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82"/>
      <c r="CR190" s="82"/>
      <c r="CS190" s="82"/>
      <c r="CT190" s="82"/>
      <c r="CU190" s="82"/>
      <c r="CV190" s="82"/>
      <c r="CW190" s="82"/>
      <c r="CX190" s="82"/>
      <c r="CY190" s="82"/>
      <c r="CZ190" s="82"/>
      <c r="DA190" s="82"/>
      <c r="DB190" s="82"/>
      <c r="DC190" s="82"/>
      <c r="DD190" s="82"/>
      <c r="DE190" s="82"/>
      <c r="DF190" s="82"/>
      <c r="DG190" s="82"/>
      <c r="DH190" s="82"/>
      <c r="DI190" s="82"/>
      <c r="DJ190" s="82"/>
      <c r="DK190" s="82"/>
      <c r="DL190" s="82"/>
      <c r="DM190" s="82"/>
      <c r="DN190" s="82"/>
      <c r="DO190" s="82"/>
      <c r="DP190" s="82"/>
      <c r="DQ190" s="82"/>
      <c r="DR190" s="82"/>
      <c r="DS190" s="82"/>
      <c r="DT190" s="82"/>
      <c r="DU190" s="82"/>
      <c r="DV190" s="82"/>
      <c r="DW190" s="82"/>
      <c r="DX190" s="82"/>
      <c r="DY190" s="82"/>
      <c r="DZ190" s="82"/>
      <c r="EA190" s="82"/>
      <c r="EB190" s="82"/>
      <c r="EC190" s="82"/>
      <c r="ED190" s="82"/>
      <c r="EE190" s="82"/>
      <c r="EF190" s="82"/>
      <c r="EG190" s="82"/>
      <c r="EH190" s="82"/>
      <c r="EI190" s="82"/>
      <c r="EJ190" s="82"/>
      <c r="EK190" s="82"/>
      <c r="EL190" s="82"/>
      <c r="EM190" s="82"/>
      <c r="EN190" s="82"/>
      <c r="EO190" s="82"/>
      <c r="EP190" s="82"/>
      <c r="EQ190" s="82"/>
      <c r="ER190" s="82"/>
      <c r="ES190" s="82"/>
      <c r="ET190" s="82"/>
      <c r="EU190" s="82"/>
      <c r="EV190" s="82"/>
      <c r="EW190" s="82"/>
      <c r="EX190" s="82"/>
      <c r="EY190" s="82"/>
      <c r="EZ190" s="82"/>
      <c r="FA190" s="82"/>
      <c r="FB190" s="82"/>
      <c r="FC190" s="82"/>
      <c r="FD190" s="82"/>
      <c r="FE190" s="82"/>
      <c r="FF190" s="82"/>
      <c r="FG190" s="82"/>
      <c r="FH190" s="82"/>
      <c r="FI190" s="82"/>
      <c r="FJ190" s="82"/>
      <c r="FK190" s="82"/>
      <c r="FL190" s="82"/>
      <c r="FM190" s="82"/>
      <c r="FN190" s="82"/>
      <c r="FO190" s="82"/>
      <c r="FP190" s="82"/>
      <c r="FQ190" s="82"/>
      <c r="FR190" s="82"/>
      <c r="FS190" s="82"/>
      <c r="FT190" s="82"/>
      <c r="FU190" s="82"/>
      <c r="FV190" s="82"/>
      <c r="FW190" s="82"/>
      <c r="FX190" s="82"/>
      <c r="FY190" s="82"/>
      <c r="FZ190" s="82"/>
      <c r="GA190" s="82"/>
      <c r="GB190" s="82"/>
      <c r="GC190" s="82"/>
      <c r="GD190" s="82"/>
      <c r="GE190" s="82"/>
      <c r="GF190" s="82"/>
      <c r="GG190" s="82"/>
      <c r="GH190" s="82"/>
      <c r="GI190" s="82"/>
      <c r="GJ190" s="82"/>
      <c r="GK190" s="82"/>
      <c r="GL190" s="82"/>
      <c r="GM190" s="82"/>
      <c r="GN190" s="82"/>
      <c r="GO190" s="82"/>
      <c r="GP190" s="82"/>
      <c r="GQ190" s="82"/>
      <c r="GR190" s="82"/>
      <c r="GS190" s="82"/>
      <c r="GT190" s="82"/>
      <c r="GU190" s="82"/>
      <c r="GV190" s="82"/>
      <c r="GW190" s="82"/>
      <c r="GX190" s="82"/>
      <c r="GY190" s="82"/>
      <c r="GZ190" s="82"/>
      <c r="HA190" s="82"/>
      <c r="HB190" s="82"/>
      <c r="HC190" s="82"/>
      <c r="HD190" s="82"/>
      <c r="HE190" s="82"/>
      <c r="HF190" s="82"/>
      <c r="HG190" s="82"/>
      <c r="HH190" s="82"/>
      <c r="HI190" s="82"/>
      <c r="HJ190" s="82"/>
      <c r="HK190" s="82"/>
      <c r="HL190" s="82"/>
      <c r="HM190" s="82"/>
      <c r="HN190" s="82"/>
      <c r="HO190" s="82"/>
      <c r="HP190" s="82"/>
      <c r="HQ190" s="82"/>
      <c r="HR190" s="82"/>
      <c r="HS190" s="82"/>
      <c r="HT190" s="82"/>
      <c r="HU190" s="82"/>
      <c r="HV190" s="82"/>
      <c r="HW190" s="82"/>
      <c r="HX190" s="82"/>
      <c r="HY190" s="82"/>
      <c r="HZ190" s="82"/>
      <c r="IA190" s="82"/>
      <c r="IB190" s="82"/>
      <c r="IC190" s="82"/>
      <c r="ID190" s="82"/>
      <c r="IE190" s="82"/>
      <c r="IF190" s="82"/>
      <c r="IG190" s="82"/>
      <c r="IH190" s="82"/>
      <c r="II190" s="82"/>
      <c r="IJ190" s="82"/>
      <c r="IK190" s="82"/>
      <c r="IL190" s="82"/>
      <c r="IM190" s="82"/>
      <c r="IN190" s="82"/>
      <c r="IO190" s="82"/>
      <c r="IP190" s="82"/>
      <c r="IQ190" s="82"/>
      <c r="IR190" s="82"/>
      <c r="IS190" s="82"/>
      <c r="IT190" s="82"/>
      <c r="IU190" s="82"/>
      <c r="IV190" s="82"/>
    </row>
    <row r="191" spans="1:256" s="8" customFormat="1" ht="16.5" customHeight="1" x14ac:dyDescent="0.2">
      <c r="A191" s="31" t="s">
        <v>960</v>
      </c>
      <c r="B191" s="472"/>
      <c r="C191" s="8">
        <f>'Common-size FS'!C20</f>
        <v>6833</v>
      </c>
      <c r="D191" s="8">
        <f>'Common-size FS'!D20</f>
        <v>6510</v>
      </c>
      <c r="E191" s="8">
        <f>'Common-size FS'!E20</f>
        <v>6678</v>
      </c>
      <c r="F191" s="8">
        <f>'Common-size FS'!F20</f>
        <v>7033</v>
      </c>
      <c r="G191" s="8">
        <f>'Common-size FS'!G20</f>
        <v>4705</v>
      </c>
      <c r="H191" s="682"/>
      <c r="I191" s="682"/>
      <c r="J191" s="682"/>
      <c r="K191" s="682"/>
      <c r="L191" s="682"/>
      <c r="M191" s="682"/>
      <c r="N191" s="682"/>
      <c r="O191" s="682"/>
      <c r="P191" s="682"/>
      <c r="Q191" s="682"/>
      <c r="R191" s="682"/>
      <c r="S191" s="682"/>
      <c r="T191" s="682"/>
      <c r="U191" s="682"/>
      <c r="V191" s="682"/>
      <c r="W191" s="682"/>
      <c r="X191" s="682"/>
      <c r="Y191" s="682"/>
      <c r="Z191" s="682"/>
      <c r="AA191" s="87"/>
      <c r="AB191" s="87"/>
      <c r="AC191" s="87"/>
      <c r="AD191" s="87"/>
      <c r="AE191" s="87"/>
      <c r="AF191" s="87"/>
      <c r="AG191" s="87"/>
      <c r="AH191" s="87"/>
      <c r="AI191" s="87"/>
      <c r="AJ191" s="87"/>
      <c r="AK191" s="87"/>
      <c r="AL191" s="87"/>
      <c r="AM191" s="87"/>
      <c r="AN191" s="87"/>
      <c r="AO191" s="87"/>
      <c r="AP191" s="87"/>
      <c r="AQ191" s="87"/>
      <c r="AR191" s="87"/>
      <c r="AS191" s="87"/>
      <c r="AT191" s="87"/>
      <c r="AU191" s="87"/>
      <c r="AV191" s="87"/>
      <c r="AW191" s="87"/>
      <c r="AX191" s="87"/>
      <c r="AY191" s="87"/>
      <c r="AZ191" s="87"/>
      <c r="BA191" s="87"/>
      <c r="BB191" s="87"/>
      <c r="BC191" s="87"/>
      <c r="BD191" s="87"/>
      <c r="BE191" s="87"/>
      <c r="BF191" s="87"/>
      <c r="BG191" s="87"/>
      <c r="BH191" s="87"/>
      <c r="BI191" s="87"/>
      <c r="BJ191" s="87"/>
      <c r="BK191" s="87"/>
      <c r="BL191" s="87"/>
      <c r="BM191" s="87"/>
      <c r="BN191" s="87"/>
      <c r="BO191" s="87"/>
      <c r="BP191" s="87"/>
      <c r="BQ191" s="87"/>
      <c r="BR191" s="87"/>
      <c r="BS191" s="87"/>
      <c r="BT191" s="87"/>
      <c r="BU191" s="87"/>
      <c r="BV191" s="87"/>
      <c r="BW191" s="87"/>
      <c r="BX191" s="87"/>
      <c r="BY191" s="87"/>
      <c r="BZ191" s="87"/>
      <c r="CA191" s="87"/>
      <c r="CB191" s="87"/>
      <c r="CC191" s="87"/>
      <c r="CD191" s="87"/>
      <c r="CE191" s="87"/>
      <c r="CF191" s="87"/>
      <c r="CG191" s="87"/>
      <c r="CH191" s="87"/>
      <c r="CI191" s="87"/>
      <c r="CJ191" s="87"/>
      <c r="CK191" s="87"/>
      <c r="CL191" s="87"/>
      <c r="CM191" s="87"/>
      <c r="CN191" s="87"/>
      <c r="CO191" s="87"/>
      <c r="CP191" s="87"/>
      <c r="CQ191" s="87"/>
      <c r="CR191" s="87"/>
      <c r="CS191" s="87"/>
      <c r="CT191" s="87"/>
      <c r="CU191" s="87"/>
      <c r="CV191" s="87"/>
      <c r="CW191" s="87"/>
      <c r="CX191" s="87"/>
      <c r="CY191" s="87"/>
      <c r="CZ191" s="87"/>
      <c r="DA191" s="87"/>
      <c r="DB191" s="87"/>
      <c r="DC191" s="87"/>
      <c r="DD191" s="87"/>
      <c r="DE191" s="87"/>
      <c r="DF191" s="87"/>
      <c r="DG191" s="87"/>
      <c r="DH191" s="87"/>
      <c r="DI191" s="87"/>
      <c r="DJ191" s="87"/>
      <c r="DK191" s="87"/>
      <c r="DL191" s="87"/>
      <c r="DM191" s="87"/>
      <c r="DN191" s="87"/>
      <c r="DO191" s="87"/>
      <c r="DP191" s="87"/>
      <c r="DQ191" s="87"/>
      <c r="DR191" s="87"/>
      <c r="DS191" s="87"/>
      <c r="DT191" s="87"/>
      <c r="DU191" s="87"/>
      <c r="DV191" s="87"/>
      <c r="DW191" s="87"/>
      <c r="DX191" s="87"/>
      <c r="DY191" s="87"/>
      <c r="DZ191" s="87"/>
      <c r="EA191" s="87"/>
      <c r="EB191" s="87"/>
      <c r="EC191" s="87"/>
      <c r="ED191" s="87"/>
      <c r="EE191" s="87"/>
      <c r="EF191" s="87"/>
      <c r="EG191" s="87"/>
      <c r="EH191" s="87"/>
      <c r="EI191" s="87"/>
      <c r="EJ191" s="87"/>
      <c r="EK191" s="87"/>
      <c r="EL191" s="87"/>
      <c r="EM191" s="87"/>
      <c r="EN191" s="87"/>
      <c r="EO191" s="87"/>
      <c r="EP191" s="87"/>
      <c r="EQ191" s="87"/>
      <c r="ER191" s="87"/>
      <c r="ES191" s="87"/>
      <c r="ET191" s="87"/>
      <c r="EU191" s="87"/>
      <c r="EV191" s="87"/>
      <c r="EW191" s="87"/>
      <c r="EX191" s="87"/>
      <c r="EY191" s="87"/>
      <c r="EZ191" s="87"/>
      <c r="FA191" s="87"/>
      <c r="FB191" s="87"/>
      <c r="FC191" s="87"/>
      <c r="FD191" s="87"/>
      <c r="FE191" s="87"/>
      <c r="FF191" s="87"/>
      <c r="FG191" s="87"/>
      <c r="FH191" s="87"/>
      <c r="FI191" s="87"/>
      <c r="FJ191" s="87"/>
      <c r="FK191" s="87"/>
      <c r="FL191" s="87"/>
      <c r="FM191" s="87"/>
      <c r="FN191" s="87"/>
      <c r="FO191" s="87"/>
      <c r="FP191" s="87"/>
      <c r="FQ191" s="87"/>
      <c r="FR191" s="87"/>
      <c r="FS191" s="87"/>
      <c r="FT191" s="87"/>
      <c r="FU191" s="87"/>
      <c r="FV191" s="87"/>
      <c r="FW191" s="87"/>
      <c r="FX191" s="87"/>
      <c r="FY191" s="87"/>
      <c r="FZ191" s="87"/>
      <c r="GA191" s="87"/>
      <c r="GB191" s="87"/>
      <c r="GC191" s="87"/>
      <c r="GD191" s="87"/>
      <c r="GE191" s="87"/>
      <c r="GF191" s="87"/>
      <c r="GG191" s="87"/>
      <c r="GH191" s="87"/>
      <c r="GI191" s="87"/>
      <c r="GJ191" s="87"/>
      <c r="GK191" s="87"/>
      <c r="GL191" s="87"/>
      <c r="GM191" s="87"/>
      <c r="GN191" s="87"/>
      <c r="GO191" s="87"/>
      <c r="GP191" s="87"/>
      <c r="GQ191" s="87"/>
      <c r="GR191" s="87"/>
      <c r="GS191" s="87"/>
      <c r="GT191" s="87"/>
      <c r="GU191" s="87"/>
      <c r="GV191" s="87"/>
      <c r="GW191" s="87"/>
      <c r="GX191" s="87"/>
      <c r="GY191" s="87"/>
      <c r="GZ191" s="87"/>
      <c r="HA191" s="87"/>
      <c r="HB191" s="87"/>
      <c r="HC191" s="87"/>
      <c r="HD191" s="87"/>
      <c r="HE191" s="87"/>
      <c r="HF191" s="87"/>
      <c r="HG191" s="87"/>
      <c r="HH191" s="87"/>
      <c r="HI191" s="87"/>
      <c r="HJ191" s="87"/>
      <c r="HK191" s="87"/>
      <c r="HL191" s="87"/>
      <c r="HM191" s="87"/>
      <c r="HN191" s="87"/>
      <c r="HO191" s="87"/>
      <c r="HP191" s="87"/>
      <c r="HQ191" s="87"/>
      <c r="HR191" s="87"/>
      <c r="HS191" s="87"/>
      <c r="HT191" s="87"/>
      <c r="HU191" s="87"/>
      <c r="HV191" s="87"/>
      <c r="HW191" s="87"/>
      <c r="HX191" s="87"/>
      <c r="HY191" s="87"/>
      <c r="HZ191" s="87"/>
      <c r="IA191" s="87"/>
      <c r="IB191" s="87"/>
      <c r="IC191" s="87"/>
      <c r="ID191" s="87"/>
      <c r="IE191" s="87"/>
      <c r="IF191" s="87"/>
      <c r="IG191" s="87"/>
      <c r="IH191" s="87"/>
      <c r="II191" s="87"/>
      <c r="IJ191" s="87"/>
      <c r="IK191" s="87"/>
      <c r="IL191" s="87"/>
      <c r="IM191" s="87"/>
      <c r="IN191" s="87"/>
      <c r="IO191" s="87"/>
      <c r="IP191" s="87"/>
      <c r="IQ191" s="87"/>
      <c r="IR191" s="87"/>
      <c r="IS191" s="87"/>
      <c r="IT191" s="87"/>
      <c r="IU191" s="87"/>
      <c r="IV191" s="87"/>
    </row>
    <row r="192" spans="1:256" s="55" customFormat="1" ht="16.5" customHeight="1" x14ac:dyDescent="0.2">
      <c r="A192" s="39" t="s">
        <v>961</v>
      </c>
      <c r="B192" s="465"/>
      <c r="C192" s="13">
        <f>'Common-size FS'!C44</f>
        <v>3933</v>
      </c>
      <c r="D192" s="13">
        <f>'Common-size FS'!D44</f>
        <v>3752</v>
      </c>
      <c r="E192" s="13">
        <f>'Common-size FS'!E44</f>
        <v>4099</v>
      </c>
      <c r="F192" s="13">
        <f>'Common-size FS'!F44</f>
        <v>4739</v>
      </c>
      <c r="G192" s="13">
        <f>'Common-size FS'!G44</f>
        <v>4758</v>
      </c>
      <c r="H192" s="685"/>
      <c r="I192" s="685"/>
      <c r="J192" s="685"/>
      <c r="K192" s="685"/>
      <c r="L192" s="685"/>
      <c r="M192" s="685"/>
      <c r="N192" s="685"/>
      <c r="O192" s="685"/>
      <c r="P192" s="685"/>
      <c r="Q192" s="685"/>
      <c r="R192" s="685"/>
      <c r="S192" s="685"/>
      <c r="T192" s="685"/>
      <c r="U192" s="685"/>
      <c r="V192" s="685"/>
      <c r="W192" s="685"/>
      <c r="X192" s="685"/>
      <c r="Y192" s="685"/>
      <c r="Z192" s="685"/>
      <c r="AA192" s="88"/>
      <c r="AB192" s="88"/>
      <c r="AC192" s="88"/>
      <c r="AD192" s="88"/>
      <c r="AE192" s="88"/>
      <c r="AF192" s="88"/>
      <c r="AG192" s="88"/>
      <c r="AH192" s="88"/>
      <c r="AI192" s="88"/>
      <c r="AJ192" s="88"/>
      <c r="AK192" s="88"/>
      <c r="AL192" s="88"/>
      <c r="AM192" s="88"/>
      <c r="AN192" s="88"/>
      <c r="AO192" s="88"/>
      <c r="AP192" s="88"/>
      <c r="AQ192" s="88"/>
      <c r="AR192" s="88"/>
      <c r="AS192" s="88"/>
      <c r="AT192" s="88"/>
      <c r="AU192" s="88"/>
      <c r="AV192" s="88"/>
      <c r="AW192" s="88"/>
      <c r="AX192" s="88"/>
      <c r="AY192" s="88"/>
      <c r="AZ192" s="88"/>
      <c r="BA192" s="88"/>
      <c r="BB192" s="88"/>
      <c r="BC192" s="88"/>
      <c r="BD192" s="88"/>
      <c r="BE192" s="88"/>
      <c r="BF192" s="88"/>
      <c r="BG192" s="88"/>
      <c r="BH192" s="88"/>
      <c r="BI192" s="88"/>
      <c r="BJ192" s="88"/>
      <c r="BK192" s="88"/>
      <c r="BL192" s="88"/>
      <c r="BM192" s="88"/>
      <c r="BN192" s="88"/>
      <c r="BO192" s="88"/>
      <c r="BP192" s="88"/>
      <c r="BQ192" s="88"/>
      <c r="BR192" s="88"/>
      <c r="BS192" s="88"/>
      <c r="BT192" s="88"/>
      <c r="BU192" s="88"/>
      <c r="BV192" s="88"/>
      <c r="BW192" s="88"/>
      <c r="BX192" s="88"/>
      <c r="BY192" s="88"/>
      <c r="BZ192" s="88"/>
      <c r="CA192" s="88"/>
      <c r="CB192" s="88"/>
      <c r="CC192" s="88"/>
      <c r="CD192" s="88"/>
      <c r="CE192" s="88"/>
      <c r="CF192" s="88"/>
      <c r="CG192" s="88"/>
      <c r="CH192" s="88"/>
      <c r="CI192" s="88"/>
      <c r="CJ192" s="88"/>
      <c r="CK192" s="88"/>
      <c r="CL192" s="88"/>
      <c r="CM192" s="88"/>
      <c r="CN192" s="88"/>
      <c r="CO192" s="88"/>
      <c r="CP192" s="88"/>
      <c r="CQ192" s="88"/>
      <c r="CR192" s="88"/>
      <c r="CS192" s="88"/>
      <c r="CT192" s="88"/>
      <c r="CU192" s="88"/>
      <c r="CV192" s="88"/>
      <c r="CW192" s="88"/>
      <c r="CX192" s="88"/>
      <c r="CY192" s="88"/>
      <c r="CZ192" s="88"/>
      <c r="DA192" s="88"/>
      <c r="DB192" s="88"/>
      <c r="DC192" s="88"/>
      <c r="DD192" s="88"/>
      <c r="DE192" s="88"/>
      <c r="DF192" s="88"/>
      <c r="DG192" s="88"/>
      <c r="DH192" s="88"/>
      <c r="DI192" s="88"/>
      <c r="DJ192" s="88"/>
      <c r="DK192" s="88"/>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c r="GA192" s="88"/>
      <c r="GB192" s="88"/>
      <c r="GC192" s="88"/>
      <c r="GD192" s="88"/>
      <c r="GE192" s="88"/>
      <c r="GF192" s="88"/>
      <c r="GG192" s="88"/>
      <c r="GH192" s="88"/>
      <c r="GI192" s="88"/>
      <c r="GJ192" s="88"/>
      <c r="GK192" s="88"/>
      <c r="GL192" s="88"/>
      <c r="GM192" s="88"/>
      <c r="GN192" s="88"/>
      <c r="GO192" s="88"/>
      <c r="GP192" s="88"/>
      <c r="GQ192" s="88"/>
      <c r="GR192" s="88"/>
      <c r="GS192" s="88"/>
      <c r="GT192" s="88"/>
      <c r="GU192" s="88"/>
      <c r="GV192" s="88"/>
      <c r="GW192" s="88"/>
      <c r="GX192" s="88"/>
      <c r="GY192" s="88"/>
      <c r="GZ192" s="88"/>
      <c r="HA192" s="88"/>
      <c r="HB192" s="88"/>
      <c r="HC192" s="88"/>
      <c r="HD192" s="88"/>
      <c r="HE192" s="88"/>
      <c r="HF192" s="88"/>
      <c r="HG192" s="88"/>
      <c r="HH192" s="88"/>
      <c r="HI192" s="88"/>
      <c r="HJ192" s="88"/>
      <c r="HK192" s="88"/>
      <c r="HL192" s="88"/>
      <c r="HM192" s="88"/>
      <c r="HN192" s="88"/>
      <c r="HO192" s="88"/>
      <c r="HP192" s="88"/>
      <c r="HQ192" s="88"/>
      <c r="HR192" s="88"/>
      <c r="HS192" s="88"/>
      <c r="HT192" s="88"/>
      <c r="HU192" s="88"/>
      <c r="HV192" s="88"/>
      <c r="HW192" s="88"/>
      <c r="HX192" s="88"/>
      <c r="HY192" s="88"/>
      <c r="HZ192" s="88"/>
      <c r="IA192" s="88"/>
      <c r="IB192" s="88"/>
      <c r="IC192" s="88"/>
      <c r="ID192" s="88"/>
      <c r="IE192" s="88"/>
      <c r="IF192" s="88"/>
      <c r="IG192" s="88"/>
      <c r="IH192" s="88"/>
      <c r="II192" s="88"/>
      <c r="IJ192" s="88"/>
      <c r="IK192" s="88"/>
      <c r="IL192" s="88"/>
      <c r="IM192" s="88"/>
      <c r="IN192" s="88"/>
      <c r="IO192" s="88"/>
      <c r="IP192" s="88"/>
      <c r="IQ192" s="88"/>
      <c r="IR192" s="88"/>
      <c r="IS192" s="88"/>
      <c r="IT192" s="88"/>
      <c r="IU192" s="88"/>
      <c r="IV192" s="88"/>
    </row>
    <row r="193" spans="1:256" s="462" customFormat="1" ht="16.5" customHeight="1" thickBot="1" x14ac:dyDescent="0.25">
      <c r="A193" s="462" t="s">
        <v>503</v>
      </c>
      <c r="B193" s="463"/>
      <c r="C193" s="464">
        <f>C191/C192</f>
        <v>1.7373506229341469</v>
      </c>
      <c r="D193" s="464">
        <f>D191/D192</f>
        <v>1.7350746268656716</v>
      </c>
      <c r="E193" s="464">
        <f>E191/E192</f>
        <v>1.629177848255672</v>
      </c>
      <c r="F193" s="464">
        <f>F191/F192</f>
        <v>1.4840683688541887</v>
      </c>
      <c r="G193" s="464">
        <f>G191/G192</f>
        <v>0.98886086591004618</v>
      </c>
      <c r="H193" s="1068"/>
      <c r="I193" s="687"/>
      <c r="J193" s="687"/>
      <c r="K193" s="687"/>
      <c r="L193" s="687"/>
      <c r="M193" s="687"/>
      <c r="N193" s="687"/>
      <c r="O193" s="687"/>
      <c r="P193" s="687"/>
      <c r="Q193" s="687"/>
      <c r="R193" s="687"/>
      <c r="S193" s="687"/>
      <c r="T193" s="687"/>
      <c r="U193" s="687"/>
      <c r="V193" s="687"/>
      <c r="W193" s="687"/>
      <c r="X193" s="687"/>
      <c r="Y193" s="687"/>
      <c r="Z193" s="687"/>
      <c r="AA193" s="198"/>
      <c r="AB193" s="198"/>
      <c r="AC193" s="198"/>
      <c r="AD193" s="198"/>
      <c r="AE193" s="198"/>
      <c r="AF193" s="198"/>
      <c r="AG193" s="198"/>
      <c r="AH193" s="198"/>
      <c r="AI193" s="198"/>
      <c r="AJ193" s="198"/>
      <c r="AK193" s="198"/>
      <c r="AL193" s="198"/>
      <c r="AM193" s="198"/>
      <c r="AN193" s="198"/>
      <c r="AO193" s="198"/>
      <c r="AP193" s="198"/>
      <c r="AQ193" s="198"/>
      <c r="AR193" s="198"/>
      <c r="AS193" s="198"/>
      <c r="AT193" s="198"/>
      <c r="AU193" s="198"/>
      <c r="AV193" s="198"/>
      <c r="AW193" s="198"/>
      <c r="AX193" s="198"/>
      <c r="AY193" s="198"/>
      <c r="AZ193" s="198"/>
      <c r="BA193" s="198"/>
      <c r="BB193" s="198"/>
      <c r="BC193" s="198"/>
      <c r="BD193" s="198"/>
      <c r="BE193" s="198"/>
      <c r="BF193" s="198"/>
      <c r="BG193" s="198"/>
      <c r="BH193" s="198"/>
      <c r="BI193" s="198"/>
      <c r="BJ193" s="198"/>
      <c r="BK193" s="198"/>
      <c r="BL193" s="198"/>
      <c r="BM193" s="198"/>
      <c r="BN193" s="198"/>
      <c r="BO193" s="198"/>
      <c r="BP193" s="198"/>
      <c r="BQ193" s="198"/>
      <c r="BR193" s="198"/>
      <c r="BS193" s="198"/>
      <c r="BT193" s="198"/>
      <c r="BU193" s="198"/>
      <c r="BV193" s="198"/>
      <c r="BW193" s="198"/>
      <c r="BX193" s="198"/>
      <c r="BY193" s="198"/>
      <c r="BZ193" s="198"/>
      <c r="CA193" s="198"/>
      <c r="CB193" s="198"/>
      <c r="CC193" s="198"/>
      <c r="CD193" s="198"/>
      <c r="CE193" s="198"/>
      <c r="CF193" s="198"/>
      <c r="CG193" s="198"/>
      <c r="CH193" s="198"/>
      <c r="CI193" s="198"/>
      <c r="CJ193" s="198"/>
      <c r="CK193" s="198"/>
      <c r="CL193" s="198"/>
      <c r="CM193" s="198"/>
      <c r="CN193" s="198"/>
      <c r="CO193" s="198"/>
      <c r="CP193" s="198"/>
      <c r="CQ193" s="198"/>
      <c r="CR193" s="198"/>
      <c r="CS193" s="198"/>
      <c r="CT193" s="198"/>
      <c r="CU193" s="198"/>
      <c r="CV193" s="198"/>
      <c r="CW193" s="198"/>
      <c r="CX193" s="198"/>
      <c r="CY193" s="198"/>
      <c r="CZ193" s="198"/>
      <c r="DA193" s="198"/>
      <c r="DB193" s="198"/>
      <c r="DC193" s="198"/>
      <c r="DD193" s="198"/>
      <c r="DE193" s="198"/>
      <c r="DF193" s="198"/>
      <c r="DG193" s="198"/>
      <c r="DH193" s="198"/>
      <c r="DI193" s="198"/>
      <c r="DJ193" s="198"/>
      <c r="DK193" s="198"/>
      <c r="DL193" s="198"/>
      <c r="DM193" s="198"/>
      <c r="DN193" s="198"/>
      <c r="DO193" s="198"/>
      <c r="DP193" s="198"/>
      <c r="DQ193" s="198"/>
      <c r="DR193" s="198"/>
      <c r="DS193" s="198"/>
      <c r="DT193" s="198"/>
      <c r="DU193" s="198"/>
      <c r="DV193" s="198"/>
      <c r="DW193" s="198"/>
      <c r="DX193" s="198"/>
      <c r="DY193" s="198"/>
      <c r="DZ193" s="198"/>
      <c r="EA193" s="198"/>
      <c r="EB193" s="198"/>
      <c r="EC193" s="198"/>
      <c r="ED193" s="198"/>
      <c r="EE193" s="198"/>
      <c r="EF193" s="198"/>
      <c r="EG193" s="198"/>
      <c r="EH193" s="198"/>
      <c r="EI193" s="198"/>
      <c r="EJ193" s="198"/>
      <c r="EK193" s="198"/>
      <c r="EL193" s="198"/>
      <c r="EM193" s="198"/>
      <c r="EN193" s="198"/>
      <c r="EO193" s="198"/>
      <c r="EP193" s="198"/>
      <c r="EQ193" s="198"/>
      <c r="ER193" s="198"/>
      <c r="ES193" s="198"/>
      <c r="ET193" s="198"/>
      <c r="EU193" s="198"/>
      <c r="EV193" s="198"/>
      <c r="EW193" s="198"/>
      <c r="EX193" s="198"/>
      <c r="EY193" s="198"/>
      <c r="EZ193" s="198"/>
      <c r="FA193" s="198"/>
      <c r="FB193" s="198"/>
      <c r="FC193" s="198"/>
      <c r="FD193" s="198"/>
      <c r="FE193" s="198"/>
      <c r="FF193" s="198"/>
      <c r="FG193" s="198"/>
      <c r="FH193" s="198"/>
      <c r="FI193" s="198"/>
      <c r="FJ193" s="198"/>
      <c r="FK193" s="198"/>
      <c r="FL193" s="198"/>
      <c r="FM193" s="198"/>
      <c r="FN193" s="198"/>
      <c r="FO193" s="198"/>
      <c r="FP193" s="198"/>
      <c r="FQ193" s="198"/>
      <c r="FR193" s="198"/>
      <c r="FS193" s="198"/>
      <c r="FT193" s="198"/>
      <c r="FU193" s="198"/>
      <c r="FV193" s="198"/>
      <c r="FW193" s="198"/>
      <c r="FX193" s="198"/>
      <c r="FY193" s="198"/>
      <c r="FZ193" s="198"/>
      <c r="GA193" s="198"/>
      <c r="GB193" s="198"/>
      <c r="GC193" s="198"/>
      <c r="GD193" s="198"/>
      <c r="GE193" s="198"/>
      <c r="GF193" s="198"/>
      <c r="GG193" s="198"/>
      <c r="GH193" s="198"/>
      <c r="GI193" s="198"/>
      <c r="GJ193" s="198"/>
      <c r="GK193" s="198"/>
      <c r="GL193" s="198"/>
      <c r="GM193" s="198"/>
      <c r="GN193" s="198"/>
      <c r="GO193" s="198"/>
      <c r="GP193" s="198"/>
      <c r="GQ193" s="198"/>
      <c r="GR193" s="198"/>
      <c r="GS193" s="198"/>
      <c r="GT193" s="198"/>
      <c r="GU193" s="198"/>
      <c r="GV193" s="198"/>
      <c r="GW193" s="198"/>
      <c r="GX193" s="198"/>
      <c r="GY193" s="198"/>
      <c r="GZ193" s="198"/>
      <c r="HA193" s="198"/>
      <c r="HB193" s="198"/>
      <c r="HC193" s="198"/>
      <c r="HD193" s="198"/>
      <c r="HE193" s="198"/>
      <c r="HF193" s="198"/>
      <c r="HG193" s="198"/>
      <c r="HH193" s="198"/>
      <c r="HI193" s="198"/>
      <c r="HJ193" s="198"/>
      <c r="HK193" s="198"/>
      <c r="HL193" s="198"/>
      <c r="HM193" s="198"/>
      <c r="HN193" s="198"/>
      <c r="HO193" s="198"/>
      <c r="HP193" s="198"/>
      <c r="HQ193" s="198"/>
      <c r="HR193" s="198"/>
      <c r="HS193" s="198"/>
      <c r="HT193" s="198"/>
      <c r="HU193" s="198"/>
      <c r="HV193" s="198"/>
      <c r="HW193" s="198"/>
      <c r="HX193" s="198"/>
      <c r="HY193" s="198"/>
      <c r="HZ193" s="198"/>
      <c r="IA193" s="198"/>
      <c r="IB193" s="198"/>
      <c r="IC193" s="198"/>
      <c r="ID193" s="198"/>
      <c r="IE193" s="198"/>
      <c r="IF193" s="198"/>
      <c r="IG193" s="198"/>
      <c r="IH193" s="198"/>
      <c r="II193" s="198"/>
      <c r="IJ193" s="198"/>
      <c r="IK193" s="198"/>
      <c r="IL193" s="198"/>
      <c r="IM193" s="198"/>
      <c r="IN193" s="198"/>
      <c r="IO193" s="198"/>
      <c r="IP193" s="198"/>
      <c r="IQ193" s="198"/>
      <c r="IR193" s="198"/>
      <c r="IS193" s="198"/>
      <c r="IT193" s="198"/>
      <c r="IU193" s="198"/>
      <c r="IV193" s="198"/>
    </row>
    <row r="194" spans="1:256" s="590" customFormat="1" ht="9" customHeight="1" x14ac:dyDescent="0.2">
      <c r="B194" s="591"/>
      <c r="H194" s="683"/>
      <c r="I194" s="683"/>
      <c r="J194" s="683"/>
      <c r="K194" s="683"/>
      <c r="L194" s="683"/>
      <c r="M194" s="683"/>
      <c r="N194" s="683"/>
      <c r="O194" s="683"/>
      <c r="P194" s="683"/>
      <c r="Q194" s="683"/>
      <c r="R194" s="683"/>
      <c r="S194" s="683"/>
      <c r="T194" s="683"/>
      <c r="U194" s="683"/>
      <c r="V194" s="683"/>
      <c r="W194" s="683"/>
      <c r="X194" s="683"/>
      <c r="Y194" s="683"/>
      <c r="Z194" s="683"/>
      <c r="AA194" s="195"/>
      <c r="AB194" s="195"/>
      <c r="AC194" s="195"/>
      <c r="AD194" s="195"/>
      <c r="AE194" s="195"/>
      <c r="AF194" s="195"/>
      <c r="AG194" s="195"/>
      <c r="AH194" s="195"/>
      <c r="AI194" s="195"/>
      <c r="AJ194" s="195"/>
      <c r="AK194" s="195"/>
      <c r="AL194" s="195"/>
      <c r="AM194" s="195"/>
      <c r="AN194" s="195"/>
      <c r="AO194" s="195"/>
      <c r="AP194" s="195"/>
      <c r="AQ194" s="195"/>
      <c r="AR194" s="195"/>
      <c r="AS194" s="195"/>
      <c r="AT194" s="195"/>
      <c r="AU194" s="195"/>
      <c r="AV194" s="195"/>
      <c r="AW194" s="195"/>
      <c r="AX194" s="195"/>
      <c r="AY194" s="195"/>
      <c r="AZ194" s="195"/>
      <c r="BA194" s="195"/>
      <c r="BB194" s="195"/>
      <c r="BC194" s="195"/>
      <c r="BD194" s="195"/>
      <c r="BE194" s="195"/>
      <c r="BF194" s="195"/>
      <c r="BG194" s="195"/>
      <c r="BH194" s="195"/>
      <c r="BI194" s="195"/>
      <c r="BJ194" s="195"/>
      <c r="BK194" s="195"/>
      <c r="BL194" s="195"/>
      <c r="BM194" s="195"/>
      <c r="BN194" s="195"/>
      <c r="BO194" s="195"/>
      <c r="BP194" s="195"/>
      <c r="BQ194" s="195"/>
      <c r="BR194" s="195"/>
      <c r="BS194" s="195"/>
      <c r="BT194" s="195"/>
      <c r="BU194" s="195"/>
      <c r="BV194" s="195"/>
      <c r="BW194" s="195"/>
      <c r="BX194" s="195"/>
      <c r="BY194" s="195"/>
      <c r="BZ194" s="195"/>
      <c r="CA194" s="195"/>
      <c r="CB194" s="195"/>
      <c r="CC194" s="195"/>
      <c r="CD194" s="195"/>
      <c r="CE194" s="195"/>
      <c r="CF194" s="195"/>
      <c r="CG194" s="195"/>
      <c r="CH194" s="195"/>
      <c r="CI194" s="195"/>
      <c r="CJ194" s="195"/>
      <c r="CK194" s="195"/>
      <c r="CL194" s="195"/>
      <c r="CM194" s="195"/>
      <c r="CN194" s="195"/>
      <c r="CO194" s="195"/>
      <c r="CP194" s="195"/>
      <c r="CQ194" s="195"/>
      <c r="CR194" s="195"/>
      <c r="CS194" s="195"/>
      <c r="CT194" s="195"/>
      <c r="CU194" s="195"/>
      <c r="CV194" s="195"/>
      <c r="CW194" s="195"/>
      <c r="CX194" s="195"/>
      <c r="CY194" s="195"/>
      <c r="CZ194" s="195"/>
      <c r="DA194" s="195"/>
      <c r="DB194" s="195"/>
      <c r="DC194" s="195"/>
      <c r="DD194" s="195"/>
      <c r="DE194" s="195"/>
      <c r="DF194" s="195"/>
      <c r="DG194" s="195"/>
      <c r="DH194" s="195"/>
      <c r="DI194" s="195"/>
      <c r="DJ194" s="195"/>
      <c r="DK194" s="195"/>
      <c r="DL194" s="195"/>
      <c r="DM194" s="195"/>
      <c r="DN194" s="195"/>
      <c r="DO194" s="195"/>
      <c r="DP194" s="195"/>
      <c r="DQ194" s="195"/>
      <c r="DR194" s="195"/>
      <c r="DS194" s="195"/>
      <c r="DT194" s="195"/>
      <c r="DU194" s="195"/>
      <c r="DV194" s="195"/>
      <c r="DW194" s="195"/>
      <c r="DX194" s="195"/>
      <c r="DY194" s="195"/>
      <c r="DZ194" s="195"/>
      <c r="EA194" s="195"/>
      <c r="EB194" s="195"/>
      <c r="EC194" s="195"/>
      <c r="ED194" s="195"/>
      <c r="EE194" s="195"/>
      <c r="EF194" s="195"/>
      <c r="EG194" s="195"/>
      <c r="EH194" s="195"/>
      <c r="EI194" s="195"/>
      <c r="EJ194" s="195"/>
      <c r="EK194" s="195"/>
      <c r="EL194" s="195"/>
      <c r="EM194" s="195"/>
      <c r="EN194" s="195"/>
      <c r="EO194" s="195"/>
      <c r="EP194" s="195"/>
      <c r="EQ194" s="195"/>
      <c r="ER194" s="195"/>
      <c r="ES194" s="195"/>
      <c r="ET194" s="195"/>
      <c r="EU194" s="195"/>
      <c r="EV194" s="195"/>
      <c r="EW194" s="195"/>
      <c r="EX194" s="195"/>
      <c r="EY194" s="195"/>
      <c r="EZ194" s="195"/>
      <c r="FA194" s="195"/>
      <c r="FB194" s="195"/>
      <c r="FC194" s="195"/>
      <c r="FD194" s="195"/>
      <c r="FE194" s="195"/>
      <c r="FF194" s="195"/>
      <c r="FG194" s="195"/>
      <c r="FH194" s="195"/>
      <c r="FI194" s="195"/>
      <c r="FJ194" s="195"/>
      <c r="FK194" s="195"/>
      <c r="FL194" s="195"/>
      <c r="FM194" s="195"/>
      <c r="FN194" s="195"/>
      <c r="FO194" s="195"/>
      <c r="FP194" s="195"/>
      <c r="FQ194" s="195"/>
      <c r="FR194" s="195"/>
      <c r="FS194" s="195"/>
      <c r="FT194" s="195"/>
      <c r="FU194" s="195"/>
      <c r="FV194" s="195"/>
      <c r="FW194" s="195"/>
      <c r="FX194" s="195"/>
      <c r="FY194" s="195"/>
      <c r="FZ194" s="195"/>
      <c r="GA194" s="195"/>
      <c r="GB194" s="195"/>
      <c r="GC194" s="195"/>
      <c r="GD194" s="195"/>
      <c r="GE194" s="195"/>
      <c r="GF194" s="195"/>
      <c r="GG194" s="195"/>
      <c r="GH194" s="195"/>
      <c r="GI194" s="195"/>
      <c r="GJ194" s="195"/>
      <c r="GK194" s="195"/>
      <c r="GL194" s="195"/>
      <c r="GM194" s="195"/>
      <c r="GN194" s="195"/>
      <c r="GO194" s="195"/>
      <c r="GP194" s="195"/>
      <c r="GQ194" s="195"/>
      <c r="GR194" s="195"/>
      <c r="GS194" s="195"/>
      <c r="GT194" s="195"/>
      <c r="GU194" s="195"/>
      <c r="GV194" s="195"/>
      <c r="GW194" s="195"/>
      <c r="GX194" s="195"/>
      <c r="GY194" s="195"/>
      <c r="GZ194" s="195"/>
      <c r="HA194" s="195"/>
      <c r="HB194" s="195"/>
      <c r="HC194" s="195"/>
      <c r="HD194" s="195"/>
      <c r="HE194" s="195"/>
      <c r="HF194" s="195"/>
      <c r="HG194" s="195"/>
      <c r="HH194" s="195"/>
      <c r="HI194" s="195"/>
      <c r="HJ194" s="195"/>
      <c r="HK194" s="195"/>
      <c r="HL194" s="195"/>
      <c r="HM194" s="195"/>
      <c r="HN194" s="195"/>
      <c r="HO194" s="195"/>
      <c r="HP194" s="195"/>
      <c r="HQ194" s="195"/>
      <c r="HR194" s="195"/>
      <c r="HS194" s="195"/>
      <c r="HT194" s="195"/>
      <c r="HU194" s="195"/>
      <c r="HV194" s="195"/>
      <c r="HW194" s="195"/>
      <c r="HX194" s="195"/>
      <c r="HY194" s="195"/>
      <c r="HZ194" s="195"/>
      <c r="IA194" s="195"/>
      <c r="IB194" s="195"/>
      <c r="IC194" s="195"/>
      <c r="ID194" s="195"/>
      <c r="IE194" s="195"/>
      <c r="IF194" s="195"/>
      <c r="IG194" s="195"/>
      <c r="IH194" s="195"/>
      <c r="II194" s="195"/>
      <c r="IJ194" s="195"/>
      <c r="IK194" s="195"/>
      <c r="IL194" s="195"/>
      <c r="IM194" s="195"/>
      <c r="IN194" s="195"/>
      <c r="IO194" s="195"/>
      <c r="IP194" s="195"/>
      <c r="IQ194" s="195"/>
      <c r="IR194" s="195"/>
      <c r="IS194" s="195"/>
      <c r="IT194" s="195"/>
      <c r="IU194" s="195"/>
      <c r="IV194" s="195"/>
    </row>
    <row r="195" spans="1:256" s="521" customFormat="1" ht="24" customHeight="1" x14ac:dyDescent="0.2">
      <c r="A195" s="519" t="s">
        <v>567</v>
      </c>
      <c r="B195" s="520"/>
      <c r="F195" s="426"/>
      <c r="G195" s="426"/>
      <c r="H195" s="1060"/>
      <c r="I195" s="1060"/>
      <c r="J195" s="1060"/>
      <c r="K195" s="1060"/>
      <c r="L195" s="1060"/>
      <c r="M195" s="1060"/>
      <c r="N195" s="1060"/>
      <c r="O195" s="1060"/>
      <c r="P195" s="1060"/>
      <c r="Q195" s="1060"/>
      <c r="R195" s="1060"/>
      <c r="S195" s="1060"/>
      <c r="T195" s="1060"/>
      <c r="U195" s="1060"/>
      <c r="V195" s="1060"/>
      <c r="W195" s="1060"/>
      <c r="X195" s="1060"/>
      <c r="Y195" s="1060"/>
      <c r="Z195" s="1060"/>
    </row>
    <row r="196" spans="1:256" s="20" customFormat="1" ht="16.5" customHeight="1" x14ac:dyDescent="0.2">
      <c r="A196" s="34" t="s">
        <v>504</v>
      </c>
      <c r="B196" s="524" t="s">
        <v>155</v>
      </c>
      <c r="C196" s="466">
        <f t="shared" ref="C196:G197" si="26">C191</f>
        <v>6833</v>
      </c>
      <c r="D196" s="466">
        <f t="shared" si="26"/>
        <v>6510</v>
      </c>
      <c r="E196" s="466">
        <f t="shared" si="26"/>
        <v>6678</v>
      </c>
      <c r="F196" s="466">
        <f t="shared" si="26"/>
        <v>7033</v>
      </c>
      <c r="G196" s="466">
        <f t="shared" si="26"/>
        <v>4705</v>
      </c>
      <c r="H196" s="684"/>
      <c r="I196" s="684"/>
      <c r="J196" s="684"/>
      <c r="K196" s="684"/>
      <c r="L196" s="684"/>
      <c r="M196" s="684"/>
      <c r="N196" s="684"/>
      <c r="O196" s="684"/>
      <c r="P196" s="684"/>
      <c r="Q196" s="684"/>
      <c r="R196" s="684"/>
      <c r="S196" s="684"/>
      <c r="T196" s="684"/>
      <c r="U196" s="684"/>
      <c r="V196" s="684"/>
      <c r="W196" s="684"/>
      <c r="X196" s="684"/>
      <c r="Y196" s="684"/>
      <c r="Z196" s="684"/>
      <c r="AA196" s="194"/>
      <c r="AB196" s="194"/>
      <c r="AC196" s="194"/>
      <c r="AD196" s="194"/>
      <c r="AE196" s="194"/>
      <c r="AF196" s="194"/>
      <c r="AG196" s="194"/>
      <c r="AH196" s="194"/>
      <c r="AI196" s="194"/>
      <c r="AJ196" s="194"/>
      <c r="AK196" s="194"/>
      <c r="AL196" s="194"/>
      <c r="AM196" s="194"/>
      <c r="AN196" s="194"/>
      <c r="AO196" s="194"/>
      <c r="AP196" s="194"/>
      <c r="AQ196" s="194"/>
      <c r="AR196" s="194"/>
      <c r="AS196" s="194"/>
      <c r="AT196" s="194"/>
      <c r="AU196" s="194"/>
      <c r="AV196" s="194"/>
      <c r="AW196" s="194"/>
      <c r="AX196" s="194"/>
      <c r="AY196" s="194"/>
      <c r="AZ196" s="194"/>
      <c r="BA196" s="194"/>
      <c r="BB196" s="194"/>
      <c r="BC196" s="194"/>
      <c r="BD196" s="194"/>
      <c r="BE196" s="194"/>
      <c r="BF196" s="194"/>
      <c r="BG196" s="194"/>
      <c r="BH196" s="194"/>
      <c r="BI196" s="194"/>
      <c r="BJ196" s="194"/>
      <c r="BK196" s="194"/>
      <c r="BL196" s="194"/>
      <c r="BM196" s="194"/>
      <c r="BN196" s="194"/>
      <c r="BO196" s="194"/>
      <c r="BP196" s="194"/>
      <c r="BQ196" s="194"/>
      <c r="BR196" s="194"/>
      <c r="BS196" s="194"/>
      <c r="BT196" s="194"/>
      <c r="BU196" s="194"/>
      <c r="BV196" s="194"/>
      <c r="BW196" s="194"/>
      <c r="BX196" s="194"/>
      <c r="BY196" s="194"/>
      <c r="BZ196" s="194"/>
      <c r="CA196" s="194"/>
      <c r="CB196" s="194"/>
      <c r="CC196" s="194"/>
      <c r="CD196" s="194"/>
      <c r="CE196" s="194"/>
      <c r="CF196" s="194"/>
      <c r="CG196" s="194"/>
      <c r="CH196" s="194"/>
      <c r="CI196" s="194"/>
      <c r="CJ196" s="194"/>
      <c r="CK196" s="194"/>
      <c r="CL196" s="194"/>
      <c r="CM196" s="194"/>
      <c r="CN196" s="194"/>
      <c r="CO196" s="194"/>
      <c r="CP196" s="194"/>
      <c r="CQ196" s="194"/>
      <c r="CR196" s="194"/>
      <c r="CS196" s="194"/>
      <c r="CT196" s="194"/>
      <c r="CU196" s="194"/>
      <c r="CV196" s="194"/>
      <c r="CW196" s="194"/>
      <c r="CX196" s="194"/>
      <c r="CY196" s="194"/>
      <c r="CZ196" s="194"/>
      <c r="DA196" s="194"/>
      <c r="DB196" s="194"/>
      <c r="DC196" s="194"/>
      <c r="DD196" s="194"/>
      <c r="DE196" s="194"/>
      <c r="DF196" s="194"/>
      <c r="DG196" s="194"/>
      <c r="DH196" s="194"/>
      <c r="DI196" s="194"/>
      <c r="DJ196" s="194"/>
      <c r="DK196" s="194"/>
      <c r="DL196" s="194"/>
      <c r="DM196" s="194"/>
      <c r="DN196" s="194"/>
      <c r="DO196" s="194"/>
      <c r="DP196" s="194"/>
      <c r="DQ196" s="194"/>
      <c r="DR196" s="194"/>
      <c r="DS196" s="194"/>
      <c r="DT196" s="194"/>
      <c r="DU196" s="194"/>
      <c r="DV196" s="194"/>
      <c r="DW196" s="194"/>
      <c r="DX196" s="194"/>
      <c r="DY196" s="194"/>
      <c r="DZ196" s="194"/>
      <c r="EA196" s="194"/>
      <c r="EB196" s="194"/>
      <c r="EC196" s="194"/>
      <c r="ED196" s="194"/>
      <c r="EE196" s="194"/>
      <c r="EF196" s="194"/>
      <c r="EG196" s="194"/>
      <c r="EH196" s="194"/>
      <c r="EI196" s="194"/>
      <c r="EJ196" s="194"/>
      <c r="EK196" s="194"/>
      <c r="EL196" s="194"/>
      <c r="EM196" s="194"/>
      <c r="EN196" s="194"/>
      <c r="EO196" s="194"/>
      <c r="EP196" s="194"/>
      <c r="EQ196" s="194"/>
      <c r="ER196" s="194"/>
      <c r="ES196" s="194"/>
      <c r="ET196" s="194"/>
      <c r="EU196" s="194"/>
      <c r="EV196" s="194"/>
      <c r="EW196" s="194"/>
      <c r="EX196" s="194"/>
      <c r="EY196" s="194"/>
      <c r="EZ196" s="194"/>
      <c r="FA196" s="194"/>
      <c r="FB196" s="194"/>
      <c r="FC196" s="194"/>
      <c r="FD196" s="194"/>
      <c r="FE196" s="194"/>
      <c r="FF196" s="194"/>
      <c r="FG196" s="194"/>
      <c r="FH196" s="194"/>
      <c r="FI196" s="194"/>
      <c r="FJ196" s="194"/>
      <c r="FK196" s="194"/>
      <c r="FL196" s="194"/>
      <c r="FM196" s="194"/>
      <c r="FN196" s="194"/>
      <c r="FO196" s="194"/>
      <c r="FP196" s="194"/>
      <c r="FQ196" s="194"/>
      <c r="FR196" s="194"/>
      <c r="FS196" s="194"/>
      <c r="FT196" s="194"/>
      <c r="FU196" s="194"/>
      <c r="FV196" s="194"/>
      <c r="FW196" s="194"/>
      <c r="FX196" s="194"/>
      <c r="FY196" s="194"/>
      <c r="FZ196" s="194"/>
      <c r="GA196" s="194"/>
      <c r="GB196" s="194"/>
      <c r="GC196" s="194"/>
      <c r="GD196" s="194"/>
      <c r="GE196" s="194"/>
      <c r="GF196" s="194"/>
      <c r="GG196" s="194"/>
      <c r="GH196" s="194"/>
      <c r="GI196" s="194"/>
      <c r="GJ196" s="194"/>
      <c r="GK196" s="194"/>
      <c r="GL196" s="194"/>
      <c r="GM196" s="194"/>
      <c r="GN196" s="194"/>
      <c r="GO196" s="194"/>
      <c r="GP196" s="194"/>
      <c r="GQ196" s="194"/>
      <c r="GR196" s="194"/>
      <c r="GS196" s="194"/>
      <c r="GT196" s="194"/>
      <c r="GU196" s="194"/>
      <c r="GV196" s="194"/>
      <c r="GW196" s="194"/>
      <c r="GX196" s="194"/>
      <c r="GY196" s="194"/>
      <c r="GZ196" s="194"/>
      <c r="HA196" s="194"/>
      <c r="HB196" s="194"/>
      <c r="HC196" s="194"/>
      <c r="HD196" s="194"/>
      <c r="HE196" s="194"/>
      <c r="HF196" s="194"/>
      <c r="HG196" s="194"/>
      <c r="HH196" s="194"/>
      <c r="HI196" s="194"/>
      <c r="HJ196" s="194"/>
      <c r="HK196" s="194"/>
      <c r="HL196" s="194"/>
      <c r="HM196" s="194"/>
      <c r="HN196" s="194"/>
      <c r="HO196" s="194"/>
      <c r="HP196" s="194"/>
      <c r="HQ196" s="194"/>
      <c r="HR196" s="194"/>
      <c r="HS196" s="194"/>
      <c r="HT196" s="194"/>
      <c r="HU196" s="194"/>
      <c r="HV196" s="194"/>
      <c r="HW196" s="194"/>
      <c r="HX196" s="194"/>
      <c r="HY196" s="194"/>
      <c r="HZ196" s="194"/>
      <c r="IA196" s="194"/>
      <c r="IB196" s="194"/>
      <c r="IC196" s="194"/>
      <c r="ID196" s="194"/>
      <c r="IE196" s="194"/>
      <c r="IF196" s="194"/>
      <c r="IG196" s="194"/>
      <c r="IH196" s="194"/>
      <c r="II196" s="194"/>
      <c r="IJ196" s="194"/>
      <c r="IK196" s="194"/>
      <c r="IL196" s="194"/>
      <c r="IM196" s="194"/>
      <c r="IN196" s="194"/>
      <c r="IO196" s="194"/>
      <c r="IP196" s="194"/>
      <c r="IQ196" s="194"/>
      <c r="IR196" s="194"/>
      <c r="IS196" s="194"/>
      <c r="IT196" s="194"/>
      <c r="IU196" s="194"/>
      <c r="IV196" s="194"/>
    </row>
    <row r="197" spans="1:256" s="15" customFormat="1" ht="16.5" customHeight="1" x14ac:dyDescent="0.2">
      <c r="A197" s="33" t="s">
        <v>505</v>
      </c>
      <c r="B197" s="525" t="s">
        <v>156</v>
      </c>
      <c r="C197" s="15">
        <f t="shared" si="26"/>
        <v>3933</v>
      </c>
      <c r="D197" s="15">
        <f t="shared" si="26"/>
        <v>3752</v>
      </c>
      <c r="E197" s="15">
        <f t="shared" si="26"/>
        <v>4099</v>
      </c>
      <c r="F197" s="15">
        <f t="shared" si="26"/>
        <v>4739</v>
      </c>
      <c r="G197" s="15">
        <f t="shared" si="26"/>
        <v>4758</v>
      </c>
      <c r="H197" s="683"/>
      <c r="I197" s="683"/>
      <c r="J197" s="683"/>
      <c r="K197" s="683"/>
      <c r="L197" s="683"/>
      <c r="M197" s="683"/>
      <c r="N197" s="683"/>
      <c r="O197" s="683"/>
      <c r="P197" s="683"/>
      <c r="Q197" s="683"/>
      <c r="R197" s="683"/>
      <c r="S197" s="683"/>
      <c r="T197" s="683"/>
      <c r="U197" s="683"/>
      <c r="V197" s="683"/>
      <c r="W197" s="683"/>
      <c r="X197" s="683"/>
      <c r="Y197" s="683"/>
      <c r="Z197" s="683"/>
      <c r="AA197" s="195"/>
      <c r="AB197" s="195"/>
      <c r="AC197" s="195"/>
      <c r="AD197" s="195"/>
      <c r="AE197" s="195"/>
      <c r="AF197" s="195"/>
      <c r="AG197" s="195"/>
      <c r="AH197" s="195"/>
      <c r="AI197" s="195"/>
      <c r="AJ197" s="195"/>
      <c r="AK197" s="195"/>
      <c r="AL197" s="195"/>
      <c r="AM197" s="195"/>
      <c r="AN197" s="195"/>
      <c r="AO197" s="195"/>
      <c r="AP197" s="195"/>
      <c r="AQ197" s="195"/>
      <c r="AR197" s="195"/>
      <c r="AS197" s="195"/>
      <c r="AT197" s="195"/>
      <c r="AU197" s="195"/>
      <c r="AV197" s="195"/>
      <c r="AW197" s="195"/>
      <c r="AX197" s="195"/>
      <c r="AY197" s="195"/>
      <c r="AZ197" s="195"/>
      <c r="BA197" s="195"/>
      <c r="BB197" s="195"/>
      <c r="BC197" s="195"/>
      <c r="BD197" s="195"/>
      <c r="BE197" s="195"/>
      <c r="BF197" s="195"/>
      <c r="BG197" s="195"/>
      <c r="BH197" s="195"/>
      <c r="BI197" s="195"/>
      <c r="BJ197" s="195"/>
      <c r="BK197" s="195"/>
      <c r="BL197" s="195"/>
      <c r="BM197" s="195"/>
      <c r="BN197" s="195"/>
      <c r="BO197" s="195"/>
      <c r="BP197" s="195"/>
      <c r="BQ197" s="195"/>
      <c r="BR197" s="195"/>
      <c r="BS197" s="195"/>
      <c r="BT197" s="195"/>
      <c r="BU197" s="195"/>
      <c r="BV197" s="195"/>
      <c r="BW197" s="195"/>
      <c r="BX197" s="195"/>
      <c r="BY197" s="195"/>
      <c r="BZ197" s="195"/>
      <c r="CA197" s="195"/>
      <c r="CB197" s="195"/>
      <c r="CC197" s="195"/>
      <c r="CD197" s="195"/>
      <c r="CE197" s="195"/>
      <c r="CF197" s="195"/>
      <c r="CG197" s="195"/>
      <c r="CH197" s="195"/>
      <c r="CI197" s="195"/>
      <c r="CJ197" s="195"/>
      <c r="CK197" s="195"/>
      <c r="CL197" s="195"/>
      <c r="CM197" s="195"/>
      <c r="CN197" s="195"/>
      <c r="CO197" s="195"/>
      <c r="CP197" s="195"/>
      <c r="CQ197" s="195"/>
      <c r="CR197" s="195"/>
      <c r="CS197" s="195"/>
      <c r="CT197" s="195"/>
      <c r="CU197" s="195"/>
      <c r="CV197" s="195"/>
      <c r="CW197" s="195"/>
      <c r="CX197" s="195"/>
      <c r="CY197" s="195"/>
      <c r="CZ197" s="195"/>
      <c r="DA197" s="195"/>
      <c r="DB197" s="195"/>
      <c r="DC197" s="195"/>
      <c r="DD197" s="195"/>
      <c r="DE197" s="195"/>
      <c r="DF197" s="195"/>
      <c r="DG197" s="195"/>
      <c r="DH197" s="195"/>
      <c r="DI197" s="195"/>
      <c r="DJ197" s="195"/>
      <c r="DK197" s="195"/>
      <c r="DL197" s="195"/>
      <c r="DM197" s="195"/>
      <c r="DN197" s="195"/>
      <c r="DO197" s="195"/>
      <c r="DP197" s="195"/>
      <c r="DQ197" s="195"/>
      <c r="DR197" s="195"/>
      <c r="DS197" s="195"/>
      <c r="DT197" s="195"/>
      <c r="DU197" s="195"/>
      <c r="DV197" s="195"/>
      <c r="DW197" s="195"/>
      <c r="DX197" s="195"/>
      <c r="DY197" s="195"/>
      <c r="DZ197" s="195"/>
      <c r="EA197" s="195"/>
      <c r="EB197" s="195"/>
      <c r="EC197" s="195"/>
      <c r="ED197" s="195"/>
      <c r="EE197" s="195"/>
      <c r="EF197" s="195"/>
      <c r="EG197" s="195"/>
      <c r="EH197" s="195"/>
      <c r="EI197" s="195"/>
      <c r="EJ197" s="195"/>
      <c r="EK197" s="195"/>
      <c r="EL197" s="195"/>
      <c r="EM197" s="195"/>
      <c r="EN197" s="195"/>
      <c r="EO197" s="195"/>
      <c r="EP197" s="195"/>
      <c r="EQ197" s="195"/>
      <c r="ER197" s="195"/>
      <c r="ES197" s="195"/>
      <c r="ET197" s="195"/>
      <c r="EU197" s="195"/>
      <c r="EV197" s="195"/>
      <c r="EW197" s="195"/>
      <c r="EX197" s="195"/>
      <c r="EY197" s="195"/>
      <c r="EZ197" s="195"/>
      <c r="FA197" s="195"/>
      <c r="FB197" s="195"/>
      <c r="FC197" s="195"/>
      <c r="FD197" s="195"/>
      <c r="FE197" s="195"/>
      <c r="FF197" s="195"/>
      <c r="FG197" s="195"/>
      <c r="FH197" s="195"/>
      <c r="FI197" s="195"/>
      <c r="FJ197" s="195"/>
      <c r="FK197" s="195"/>
      <c r="FL197" s="195"/>
      <c r="FM197" s="195"/>
      <c r="FN197" s="195"/>
      <c r="FO197" s="195"/>
      <c r="FP197" s="195"/>
      <c r="FQ197" s="195"/>
      <c r="FR197" s="195"/>
      <c r="FS197" s="195"/>
      <c r="FT197" s="195"/>
      <c r="FU197" s="195"/>
      <c r="FV197" s="195"/>
      <c r="FW197" s="195"/>
      <c r="FX197" s="195"/>
      <c r="FY197" s="195"/>
      <c r="FZ197" s="195"/>
      <c r="GA197" s="195"/>
      <c r="GB197" s="195"/>
      <c r="GC197" s="195"/>
      <c r="GD197" s="195"/>
      <c r="GE197" s="195"/>
      <c r="GF197" s="195"/>
      <c r="GG197" s="195"/>
      <c r="GH197" s="195"/>
      <c r="GI197" s="195"/>
      <c r="GJ197" s="195"/>
      <c r="GK197" s="195"/>
      <c r="GL197" s="195"/>
      <c r="GM197" s="195"/>
      <c r="GN197" s="195"/>
      <c r="GO197" s="195"/>
      <c r="GP197" s="195"/>
      <c r="GQ197" s="195"/>
      <c r="GR197" s="195"/>
      <c r="GS197" s="195"/>
      <c r="GT197" s="195"/>
      <c r="GU197" s="195"/>
      <c r="GV197" s="195"/>
      <c r="GW197" s="195"/>
      <c r="GX197" s="195"/>
      <c r="GY197" s="195"/>
      <c r="GZ197" s="195"/>
      <c r="HA197" s="195"/>
      <c r="HB197" s="195"/>
      <c r="HC197" s="195"/>
      <c r="HD197" s="195"/>
      <c r="HE197" s="195"/>
      <c r="HF197" s="195"/>
      <c r="HG197" s="195"/>
      <c r="HH197" s="195"/>
      <c r="HI197" s="195"/>
      <c r="HJ197" s="195"/>
      <c r="HK197" s="195"/>
      <c r="HL197" s="195"/>
      <c r="HM197" s="195"/>
      <c r="HN197" s="195"/>
      <c r="HO197" s="195"/>
      <c r="HP197" s="195"/>
      <c r="HQ197" s="195"/>
      <c r="HR197" s="195"/>
      <c r="HS197" s="195"/>
      <c r="HT197" s="195"/>
      <c r="HU197" s="195"/>
      <c r="HV197" s="195"/>
      <c r="HW197" s="195"/>
      <c r="HX197" s="195"/>
      <c r="HY197" s="195"/>
      <c r="HZ197" s="195"/>
      <c r="IA197" s="195"/>
      <c r="IB197" s="195"/>
      <c r="IC197" s="195"/>
      <c r="ID197" s="195"/>
      <c r="IE197" s="195"/>
      <c r="IF197" s="195"/>
      <c r="IG197" s="195"/>
      <c r="IH197" s="195"/>
      <c r="II197" s="195"/>
      <c r="IJ197" s="195"/>
      <c r="IK197" s="195"/>
      <c r="IL197" s="195"/>
      <c r="IM197" s="195"/>
      <c r="IN197" s="195"/>
      <c r="IO197" s="195"/>
      <c r="IP197" s="195"/>
      <c r="IQ197" s="195"/>
      <c r="IR197" s="195"/>
      <c r="IS197" s="195"/>
      <c r="IT197" s="195"/>
      <c r="IU197" s="195"/>
      <c r="IV197" s="195"/>
    </row>
    <row r="198" spans="1:256" s="13" customFormat="1" ht="16.5" customHeight="1" x14ac:dyDescent="0.2">
      <c r="A198" s="39" t="s">
        <v>570</v>
      </c>
      <c r="B198" s="526" t="s">
        <v>157</v>
      </c>
      <c r="C198" s="523">
        <v>1.6</v>
      </c>
      <c r="D198" s="523">
        <v>1.6</v>
      </c>
      <c r="E198" s="523">
        <v>1.6</v>
      </c>
      <c r="F198" s="523">
        <v>1.6</v>
      </c>
      <c r="G198" s="523">
        <v>1.6</v>
      </c>
      <c r="H198" s="685"/>
      <c r="I198" s="685"/>
      <c r="J198" s="685"/>
      <c r="K198" s="685"/>
      <c r="L198" s="685"/>
      <c r="M198" s="685"/>
      <c r="N198" s="685"/>
      <c r="O198" s="685"/>
      <c r="P198" s="685"/>
      <c r="Q198" s="685"/>
      <c r="R198" s="685"/>
      <c r="S198" s="685"/>
      <c r="T198" s="685"/>
      <c r="U198" s="685"/>
      <c r="V198" s="685"/>
      <c r="W198" s="685"/>
      <c r="X198" s="685"/>
      <c r="Y198" s="685"/>
      <c r="Z198" s="685"/>
      <c r="AA198" s="88"/>
      <c r="AB198" s="88"/>
      <c r="AC198" s="88"/>
      <c r="AD198" s="88"/>
      <c r="AE198" s="88"/>
      <c r="AF198" s="88"/>
      <c r="AG198" s="88"/>
      <c r="AH198" s="88"/>
      <c r="AI198" s="88"/>
      <c r="AJ198" s="88"/>
      <c r="AK198" s="88"/>
      <c r="AL198" s="88"/>
      <c r="AM198" s="88"/>
      <c r="AN198" s="88"/>
      <c r="AO198" s="88"/>
      <c r="AP198" s="88"/>
      <c r="AQ198" s="88"/>
      <c r="AR198" s="88"/>
      <c r="AS198" s="88"/>
      <c r="AT198" s="88"/>
      <c r="AU198" s="88"/>
      <c r="AV198" s="88"/>
      <c r="AW198" s="88"/>
      <c r="AX198" s="88"/>
      <c r="AY198" s="88"/>
      <c r="AZ198" s="88"/>
      <c r="BA198" s="88"/>
      <c r="BB198" s="88"/>
      <c r="BC198" s="88"/>
      <c r="BD198" s="88"/>
      <c r="BE198" s="88"/>
      <c r="BF198" s="88"/>
      <c r="BG198" s="88"/>
      <c r="BH198" s="88"/>
      <c r="BI198" s="88"/>
      <c r="BJ198" s="88"/>
      <c r="BK198" s="88"/>
      <c r="BL198" s="88"/>
      <c r="BM198" s="88"/>
      <c r="BN198" s="88"/>
      <c r="BO198" s="88"/>
      <c r="BP198" s="88"/>
      <c r="BQ198" s="88"/>
      <c r="BR198" s="88"/>
      <c r="BS198" s="88"/>
      <c r="BT198" s="88"/>
      <c r="BU198" s="88"/>
      <c r="BV198" s="88"/>
      <c r="BW198" s="88"/>
      <c r="BX198" s="88"/>
      <c r="BY198" s="88"/>
      <c r="BZ198" s="88"/>
      <c r="CA198" s="88"/>
      <c r="CB198" s="88"/>
      <c r="CC198" s="88"/>
      <c r="CD198" s="88"/>
      <c r="CE198" s="88"/>
      <c r="CF198" s="88"/>
      <c r="CG198" s="88"/>
      <c r="CH198" s="88"/>
      <c r="CI198" s="88"/>
      <c r="CJ198" s="88"/>
      <c r="CK198" s="88"/>
      <c r="CL198" s="88"/>
      <c r="CM198" s="88"/>
      <c r="CN198" s="88"/>
      <c r="CO198" s="88"/>
      <c r="CP198" s="88"/>
      <c r="CQ198" s="88"/>
      <c r="CR198" s="88"/>
      <c r="CS198" s="88"/>
      <c r="CT198" s="88"/>
      <c r="CU198" s="88"/>
      <c r="CV198" s="88"/>
      <c r="CW198" s="88"/>
      <c r="CX198" s="88"/>
      <c r="CY198" s="88"/>
      <c r="CZ198" s="88"/>
      <c r="DA198" s="88"/>
      <c r="DB198" s="88"/>
      <c r="DC198" s="88"/>
      <c r="DD198" s="88"/>
      <c r="DE198" s="88"/>
      <c r="DF198" s="88"/>
      <c r="DG198" s="88"/>
      <c r="DH198" s="88"/>
      <c r="DI198" s="88"/>
      <c r="DJ198" s="88"/>
      <c r="DK198" s="88"/>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c r="GA198" s="88"/>
      <c r="GB198" s="88"/>
      <c r="GC198" s="88"/>
      <c r="GD198" s="88"/>
      <c r="GE198" s="88"/>
      <c r="GF198" s="88"/>
      <c r="GG198" s="88"/>
      <c r="GH198" s="88"/>
      <c r="GI198" s="88"/>
      <c r="GJ198" s="88"/>
      <c r="GK198" s="88"/>
      <c r="GL198" s="88"/>
      <c r="GM198" s="88"/>
      <c r="GN198" s="88"/>
      <c r="GO198" s="88"/>
      <c r="GP198" s="88"/>
      <c r="GQ198" s="88"/>
      <c r="GR198" s="88"/>
      <c r="GS198" s="88"/>
      <c r="GT198" s="88"/>
      <c r="GU198" s="88"/>
      <c r="GV198" s="88"/>
      <c r="GW198" s="88"/>
      <c r="GX198" s="88"/>
      <c r="GY198" s="88"/>
      <c r="GZ198" s="88"/>
      <c r="HA198" s="88"/>
      <c r="HB198" s="88"/>
      <c r="HC198" s="88"/>
      <c r="HD198" s="88"/>
      <c r="HE198" s="88"/>
      <c r="HF198" s="88"/>
      <c r="HG198" s="88"/>
      <c r="HH198" s="88"/>
      <c r="HI198" s="88"/>
      <c r="HJ198" s="88"/>
      <c r="HK198" s="88"/>
      <c r="HL198" s="88"/>
      <c r="HM198" s="88"/>
      <c r="HN198" s="88"/>
      <c r="HO198" s="88"/>
      <c r="HP198" s="88"/>
      <c r="HQ198" s="88"/>
      <c r="HR198" s="88"/>
      <c r="HS198" s="88"/>
      <c r="HT198" s="88"/>
      <c r="HU198" s="88"/>
      <c r="HV198" s="88"/>
      <c r="HW198" s="88"/>
      <c r="HX198" s="88"/>
      <c r="HY198" s="88"/>
      <c r="HZ198" s="88"/>
      <c r="IA198" s="88"/>
      <c r="IB198" s="88"/>
      <c r="IC198" s="88"/>
      <c r="ID198" s="88"/>
      <c r="IE198" s="88"/>
      <c r="IF198" s="88"/>
      <c r="IG198" s="88"/>
      <c r="IH198" s="88"/>
      <c r="II198" s="88"/>
      <c r="IJ198" s="88"/>
      <c r="IK198" s="88"/>
      <c r="IL198" s="88"/>
      <c r="IM198" s="88"/>
      <c r="IN198" s="88"/>
      <c r="IO198" s="88"/>
      <c r="IP198" s="88"/>
      <c r="IQ198" s="88"/>
      <c r="IR198" s="88"/>
      <c r="IS198" s="88"/>
      <c r="IT198" s="88"/>
      <c r="IU198" s="88"/>
      <c r="IV198" s="88"/>
    </row>
    <row r="199" spans="1:256" s="14" customFormat="1" ht="16.5" customHeight="1" x14ac:dyDescent="0.2">
      <c r="A199" s="115" t="s">
        <v>506</v>
      </c>
      <c r="B199" s="527" t="s">
        <v>568</v>
      </c>
      <c r="C199" s="14">
        <f>ROUND(C197*C198,-1)</f>
        <v>6290</v>
      </c>
      <c r="D199" s="14">
        <f>ROUND(D197*D198,-1)</f>
        <v>6000</v>
      </c>
      <c r="E199" s="14">
        <f>ROUND(E197*E198,-1)</f>
        <v>6560</v>
      </c>
      <c r="F199" s="14">
        <f>ROUND(F197*F198,-1)</f>
        <v>7580</v>
      </c>
      <c r="G199" s="14">
        <f>ROUND(G197*G198,-1)</f>
        <v>7610</v>
      </c>
      <c r="H199" s="686"/>
      <c r="I199" s="686"/>
      <c r="J199" s="686"/>
      <c r="K199" s="686"/>
      <c r="L199" s="686"/>
      <c r="M199" s="686"/>
      <c r="N199" s="686"/>
      <c r="O199" s="686"/>
      <c r="P199" s="686"/>
      <c r="Q199" s="686"/>
      <c r="R199" s="686"/>
      <c r="S199" s="686"/>
      <c r="T199" s="686"/>
      <c r="U199" s="686"/>
      <c r="V199" s="686"/>
      <c r="W199" s="686"/>
      <c r="X199" s="686"/>
      <c r="Y199" s="686"/>
      <c r="Z199" s="686"/>
      <c r="AA199" s="165"/>
      <c r="AB199" s="165"/>
      <c r="AC199" s="165"/>
      <c r="AD199" s="165"/>
      <c r="AE199" s="165"/>
      <c r="AF199" s="165"/>
      <c r="AG199" s="165"/>
      <c r="AH199" s="165"/>
      <c r="AI199" s="165"/>
      <c r="AJ199" s="165"/>
      <c r="AK199" s="165"/>
      <c r="AL199" s="165"/>
      <c r="AM199" s="165"/>
      <c r="AN199" s="165"/>
      <c r="AO199" s="165"/>
      <c r="AP199" s="165"/>
      <c r="AQ199" s="165"/>
      <c r="AR199" s="165"/>
      <c r="AS199" s="165"/>
      <c r="AT199" s="165"/>
      <c r="AU199" s="165"/>
      <c r="AV199" s="165"/>
      <c r="AW199" s="165"/>
      <c r="AX199" s="165"/>
      <c r="AY199" s="165"/>
      <c r="AZ199" s="165"/>
      <c r="BA199" s="165"/>
      <c r="BB199" s="165"/>
      <c r="BC199" s="165"/>
      <c r="BD199" s="165"/>
      <c r="BE199" s="165"/>
      <c r="BF199" s="165"/>
      <c r="BG199" s="165"/>
      <c r="BH199" s="165"/>
      <c r="BI199" s="165"/>
      <c r="BJ199" s="165"/>
      <c r="BK199" s="165"/>
      <c r="BL199" s="165"/>
      <c r="BM199" s="165"/>
      <c r="BN199" s="165"/>
      <c r="BO199" s="165"/>
      <c r="BP199" s="165"/>
      <c r="BQ199" s="165"/>
      <c r="BR199" s="165"/>
      <c r="BS199" s="165"/>
      <c r="BT199" s="165"/>
      <c r="BU199" s="165"/>
      <c r="BV199" s="165"/>
      <c r="BW199" s="165"/>
      <c r="BX199" s="165"/>
      <c r="BY199" s="165"/>
      <c r="BZ199" s="165"/>
      <c r="CA199" s="165"/>
      <c r="CB199" s="165"/>
      <c r="CC199" s="165"/>
      <c r="CD199" s="165"/>
      <c r="CE199" s="165"/>
      <c r="CF199" s="165"/>
      <c r="CG199" s="165"/>
      <c r="CH199" s="165"/>
      <c r="CI199" s="165"/>
      <c r="CJ199" s="165"/>
      <c r="CK199" s="165"/>
      <c r="CL199" s="165"/>
      <c r="CM199" s="165"/>
      <c r="CN199" s="165"/>
      <c r="CO199" s="165"/>
      <c r="CP199" s="165"/>
      <c r="CQ199" s="165"/>
      <c r="CR199" s="165"/>
      <c r="CS199" s="165"/>
      <c r="CT199" s="165"/>
      <c r="CU199" s="165"/>
      <c r="CV199" s="165"/>
      <c r="CW199" s="165"/>
      <c r="CX199" s="165"/>
      <c r="CY199" s="165"/>
      <c r="CZ199" s="165"/>
      <c r="DA199" s="165"/>
      <c r="DB199" s="165"/>
      <c r="DC199" s="165"/>
      <c r="DD199" s="165"/>
      <c r="DE199" s="165"/>
      <c r="DF199" s="165"/>
      <c r="DG199" s="165"/>
      <c r="DH199" s="165"/>
      <c r="DI199" s="165"/>
      <c r="DJ199" s="165"/>
      <c r="DK199" s="165"/>
      <c r="DL199" s="165"/>
      <c r="DM199" s="165"/>
      <c r="DN199" s="165"/>
      <c r="DO199" s="165"/>
      <c r="DP199" s="165"/>
      <c r="DQ199" s="165"/>
      <c r="DR199" s="165"/>
      <c r="DS199" s="165"/>
      <c r="DT199" s="165"/>
      <c r="DU199" s="165"/>
      <c r="DV199" s="165"/>
      <c r="DW199" s="165"/>
      <c r="DX199" s="165"/>
      <c r="DY199" s="165"/>
      <c r="DZ199" s="165"/>
      <c r="EA199" s="165"/>
      <c r="EB199" s="165"/>
      <c r="EC199" s="165"/>
      <c r="ED199" s="165"/>
      <c r="EE199" s="165"/>
      <c r="EF199" s="165"/>
      <c r="EG199" s="165"/>
      <c r="EH199" s="165"/>
      <c r="EI199" s="165"/>
      <c r="EJ199" s="165"/>
      <c r="EK199" s="165"/>
      <c r="EL199" s="165"/>
      <c r="EM199" s="165"/>
      <c r="EN199" s="165"/>
      <c r="EO199" s="165"/>
      <c r="EP199" s="165"/>
      <c r="EQ199" s="165"/>
      <c r="ER199" s="165"/>
      <c r="ES199" s="165"/>
      <c r="ET199" s="165"/>
      <c r="EU199" s="165"/>
      <c r="EV199" s="165"/>
      <c r="EW199" s="165"/>
      <c r="EX199" s="165"/>
      <c r="EY199" s="165"/>
      <c r="EZ199" s="165"/>
      <c r="FA199" s="165"/>
      <c r="FB199" s="165"/>
      <c r="FC199" s="165"/>
      <c r="FD199" s="165"/>
      <c r="FE199" s="165"/>
      <c r="FF199" s="165"/>
      <c r="FG199" s="165"/>
      <c r="FH199" s="165"/>
      <c r="FI199" s="165"/>
      <c r="FJ199" s="165"/>
      <c r="FK199" s="165"/>
      <c r="FL199" s="165"/>
      <c r="FM199" s="165"/>
      <c r="FN199" s="165"/>
      <c r="FO199" s="165"/>
      <c r="FP199" s="165"/>
      <c r="FQ199" s="165"/>
      <c r="FR199" s="165"/>
      <c r="FS199" s="165"/>
      <c r="FT199" s="165"/>
      <c r="FU199" s="165"/>
      <c r="FV199" s="165"/>
      <c r="FW199" s="165"/>
      <c r="FX199" s="165"/>
      <c r="FY199" s="165"/>
      <c r="FZ199" s="165"/>
      <c r="GA199" s="165"/>
      <c r="GB199" s="165"/>
      <c r="GC199" s="165"/>
      <c r="GD199" s="165"/>
      <c r="GE199" s="165"/>
      <c r="GF199" s="165"/>
      <c r="GG199" s="165"/>
      <c r="GH199" s="165"/>
      <c r="GI199" s="165"/>
      <c r="GJ199" s="165"/>
      <c r="GK199" s="165"/>
      <c r="GL199" s="165"/>
      <c r="GM199" s="165"/>
      <c r="GN199" s="165"/>
      <c r="GO199" s="165"/>
      <c r="GP199" s="165"/>
      <c r="GQ199" s="165"/>
      <c r="GR199" s="165"/>
      <c r="GS199" s="165"/>
      <c r="GT199" s="165"/>
      <c r="GU199" s="165"/>
      <c r="GV199" s="165"/>
      <c r="GW199" s="165"/>
      <c r="GX199" s="165"/>
      <c r="GY199" s="165"/>
      <c r="GZ199" s="165"/>
      <c r="HA199" s="165"/>
      <c r="HB199" s="165"/>
      <c r="HC199" s="165"/>
      <c r="HD199" s="165"/>
      <c r="HE199" s="165"/>
      <c r="HF199" s="165"/>
      <c r="HG199" s="165"/>
      <c r="HH199" s="165"/>
      <c r="HI199" s="165"/>
      <c r="HJ199" s="165"/>
      <c r="HK199" s="165"/>
      <c r="HL199" s="165"/>
      <c r="HM199" s="165"/>
      <c r="HN199" s="165"/>
      <c r="HO199" s="165"/>
      <c r="HP199" s="165"/>
      <c r="HQ199" s="165"/>
      <c r="HR199" s="165"/>
      <c r="HS199" s="165"/>
      <c r="HT199" s="165"/>
      <c r="HU199" s="165"/>
      <c r="HV199" s="165"/>
      <c r="HW199" s="165"/>
      <c r="HX199" s="165"/>
      <c r="HY199" s="165"/>
      <c r="HZ199" s="165"/>
      <c r="IA199" s="165"/>
      <c r="IB199" s="165"/>
      <c r="IC199" s="165"/>
      <c r="ID199" s="165"/>
      <c r="IE199" s="165"/>
      <c r="IF199" s="165"/>
      <c r="IG199" s="165"/>
      <c r="IH199" s="165"/>
      <c r="II199" s="165"/>
      <c r="IJ199" s="165"/>
      <c r="IK199" s="165"/>
      <c r="IL199" s="165"/>
      <c r="IM199" s="165"/>
      <c r="IN199" s="165"/>
      <c r="IO199" s="165"/>
      <c r="IP199" s="165"/>
      <c r="IQ199" s="165"/>
      <c r="IR199" s="165"/>
      <c r="IS199" s="165"/>
      <c r="IT199" s="165"/>
      <c r="IU199" s="165"/>
      <c r="IV199" s="165"/>
    </row>
    <row r="200" spans="1:256" s="15" customFormat="1" ht="16.5" customHeight="1" x14ac:dyDescent="0.2">
      <c r="A200" s="33" t="s">
        <v>507</v>
      </c>
      <c r="B200" s="525" t="s">
        <v>569</v>
      </c>
      <c r="C200" s="15">
        <f>C196-C199</f>
        <v>543</v>
      </c>
      <c r="D200" s="15">
        <f>D196-D199</f>
        <v>510</v>
      </c>
      <c r="E200" s="15">
        <f>E196-E199</f>
        <v>118</v>
      </c>
      <c r="F200" s="15">
        <f>F196-F199</f>
        <v>-547</v>
      </c>
      <c r="G200" s="15">
        <f>G196-G199</f>
        <v>-2905</v>
      </c>
      <c r="H200" s="683"/>
      <c r="I200" s="683"/>
      <c r="J200" s="683"/>
      <c r="K200" s="683"/>
      <c r="L200" s="683"/>
      <c r="M200" s="683"/>
      <c r="N200" s="683"/>
      <c r="O200" s="683"/>
      <c r="P200" s="683"/>
      <c r="Q200" s="683"/>
      <c r="R200" s="683"/>
      <c r="S200" s="683"/>
      <c r="T200" s="683"/>
      <c r="U200" s="683"/>
      <c r="V200" s="683"/>
      <c r="W200" s="683"/>
      <c r="X200" s="683"/>
      <c r="Y200" s="683"/>
      <c r="Z200" s="683"/>
      <c r="AA200" s="195"/>
      <c r="AB200" s="195"/>
      <c r="AC200" s="195"/>
      <c r="AD200" s="195"/>
      <c r="AE200" s="195"/>
      <c r="AF200" s="195"/>
      <c r="AG200" s="195"/>
      <c r="AH200" s="195"/>
      <c r="AI200" s="195"/>
      <c r="AJ200" s="195"/>
      <c r="AK200" s="195"/>
      <c r="AL200" s="195"/>
      <c r="AM200" s="195"/>
      <c r="AN200" s="195"/>
      <c r="AO200" s="195"/>
      <c r="AP200" s="195"/>
      <c r="AQ200" s="195"/>
      <c r="AR200" s="195"/>
      <c r="AS200" s="195"/>
      <c r="AT200" s="195"/>
      <c r="AU200" s="195"/>
      <c r="AV200" s="195"/>
      <c r="AW200" s="195"/>
      <c r="AX200" s="195"/>
      <c r="AY200" s="195"/>
      <c r="AZ200" s="195"/>
      <c r="BA200" s="195"/>
      <c r="BB200" s="195"/>
      <c r="BC200" s="195"/>
      <c r="BD200" s="195"/>
      <c r="BE200" s="195"/>
      <c r="BF200" s="195"/>
      <c r="BG200" s="195"/>
      <c r="BH200" s="195"/>
      <c r="BI200" s="195"/>
      <c r="BJ200" s="195"/>
      <c r="BK200" s="195"/>
      <c r="BL200" s="195"/>
      <c r="BM200" s="195"/>
      <c r="BN200" s="195"/>
      <c r="BO200" s="195"/>
      <c r="BP200" s="195"/>
      <c r="BQ200" s="195"/>
      <c r="BR200" s="195"/>
      <c r="BS200" s="195"/>
      <c r="BT200" s="195"/>
      <c r="BU200" s="195"/>
      <c r="BV200" s="195"/>
      <c r="BW200" s="195"/>
      <c r="BX200" s="195"/>
      <c r="BY200" s="195"/>
      <c r="BZ200" s="195"/>
      <c r="CA200" s="195"/>
      <c r="CB200" s="195"/>
      <c r="CC200" s="195"/>
      <c r="CD200" s="195"/>
      <c r="CE200" s="195"/>
      <c r="CF200" s="195"/>
      <c r="CG200" s="195"/>
      <c r="CH200" s="195"/>
      <c r="CI200" s="195"/>
      <c r="CJ200" s="195"/>
      <c r="CK200" s="195"/>
      <c r="CL200" s="195"/>
      <c r="CM200" s="195"/>
      <c r="CN200" s="195"/>
      <c r="CO200" s="195"/>
      <c r="CP200" s="195"/>
      <c r="CQ200" s="195"/>
      <c r="CR200" s="195"/>
      <c r="CS200" s="195"/>
      <c r="CT200" s="195"/>
      <c r="CU200" s="195"/>
      <c r="CV200" s="195"/>
      <c r="CW200" s="195"/>
      <c r="CX200" s="195"/>
      <c r="CY200" s="195"/>
      <c r="CZ200" s="195"/>
      <c r="DA200" s="195"/>
      <c r="DB200" s="195"/>
      <c r="DC200" s="195"/>
      <c r="DD200" s="195"/>
      <c r="DE200" s="195"/>
      <c r="DF200" s="195"/>
      <c r="DG200" s="195"/>
      <c r="DH200" s="195"/>
      <c r="DI200" s="195"/>
      <c r="DJ200" s="195"/>
      <c r="DK200" s="195"/>
      <c r="DL200" s="195"/>
      <c r="DM200" s="195"/>
      <c r="DN200" s="195"/>
      <c r="DO200" s="195"/>
      <c r="DP200" s="195"/>
      <c r="DQ200" s="195"/>
      <c r="DR200" s="195"/>
      <c r="DS200" s="195"/>
      <c r="DT200" s="195"/>
      <c r="DU200" s="195"/>
      <c r="DV200" s="195"/>
      <c r="DW200" s="195"/>
      <c r="DX200" s="195"/>
      <c r="DY200" s="195"/>
      <c r="DZ200" s="195"/>
      <c r="EA200" s="195"/>
      <c r="EB200" s="195"/>
      <c r="EC200" s="195"/>
      <c r="ED200" s="195"/>
      <c r="EE200" s="195"/>
      <c r="EF200" s="195"/>
      <c r="EG200" s="195"/>
      <c r="EH200" s="195"/>
      <c r="EI200" s="195"/>
      <c r="EJ200" s="195"/>
      <c r="EK200" s="195"/>
      <c r="EL200" s="195"/>
      <c r="EM200" s="195"/>
      <c r="EN200" s="195"/>
      <c r="EO200" s="195"/>
      <c r="EP200" s="195"/>
      <c r="EQ200" s="195"/>
      <c r="ER200" s="195"/>
      <c r="ES200" s="195"/>
      <c r="ET200" s="195"/>
      <c r="EU200" s="195"/>
      <c r="EV200" s="195"/>
      <c r="EW200" s="195"/>
      <c r="EX200" s="195"/>
      <c r="EY200" s="195"/>
      <c r="EZ200" s="195"/>
      <c r="FA200" s="195"/>
      <c r="FB200" s="195"/>
      <c r="FC200" s="195"/>
      <c r="FD200" s="195"/>
      <c r="FE200" s="195"/>
      <c r="FF200" s="195"/>
      <c r="FG200" s="195"/>
      <c r="FH200" s="195"/>
      <c r="FI200" s="195"/>
      <c r="FJ200" s="195"/>
      <c r="FK200" s="195"/>
      <c r="FL200" s="195"/>
      <c r="FM200" s="195"/>
      <c r="FN200" s="195"/>
      <c r="FO200" s="195"/>
      <c r="FP200" s="195"/>
      <c r="FQ200" s="195"/>
      <c r="FR200" s="195"/>
      <c r="FS200" s="195"/>
      <c r="FT200" s="195"/>
      <c r="FU200" s="195"/>
      <c r="FV200" s="195"/>
      <c r="FW200" s="195"/>
      <c r="FX200" s="195"/>
      <c r="FY200" s="195"/>
      <c r="FZ200" s="195"/>
      <c r="GA200" s="195"/>
      <c r="GB200" s="195"/>
      <c r="GC200" s="195"/>
      <c r="GD200" s="195"/>
      <c r="GE200" s="195"/>
      <c r="GF200" s="195"/>
      <c r="GG200" s="195"/>
      <c r="GH200" s="195"/>
      <c r="GI200" s="195"/>
      <c r="GJ200" s="195"/>
      <c r="GK200" s="195"/>
      <c r="GL200" s="195"/>
      <c r="GM200" s="195"/>
      <c r="GN200" s="195"/>
      <c r="GO200" s="195"/>
      <c r="GP200" s="195"/>
      <c r="GQ200" s="195"/>
      <c r="GR200" s="195"/>
      <c r="GS200" s="195"/>
      <c r="GT200" s="195"/>
      <c r="GU200" s="195"/>
      <c r="GV200" s="195"/>
      <c r="GW200" s="195"/>
      <c r="GX200" s="195"/>
      <c r="GY200" s="195"/>
      <c r="GZ200" s="195"/>
      <c r="HA200" s="195"/>
      <c r="HB200" s="195"/>
      <c r="HC200" s="195"/>
      <c r="HD200" s="195"/>
      <c r="HE200" s="195"/>
      <c r="HF200" s="195"/>
      <c r="HG200" s="195"/>
      <c r="HH200" s="195"/>
      <c r="HI200" s="195"/>
      <c r="HJ200" s="195"/>
      <c r="HK200" s="195"/>
      <c r="HL200" s="195"/>
      <c r="HM200" s="195"/>
      <c r="HN200" s="195"/>
      <c r="HO200" s="195"/>
      <c r="HP200" s="195"/>
      <c r="HQ200" s="195"/>
      <c r="HR200" s="195"/>
      <c r="HS200" s="195"/>
      <c r="HT200" s="195"/>
      <c r="HU200" s="195"/>
      <c r="HV200" s="195"/>
      <c r="HW200" s="195"/>
      <c r="HX200" s="195"/>
      <c r="HY200" s="195"/>
      <c r="HZ200" s="195"/>
      <c r="IA200" s="195"/>
      <c r="IB200" s="195"/>
      <c r="IC200" s="195"/>
      <c r="ID200" s="195"/>
      <c r="IE200" s="195"/>
      <c r="IF200" s="195"/>
      <c r="IG200" s="195"/>
      <c r="IH200" s="195"/>
      <c r="II200" s="195"/>
      <c r="IJ200" s="195"/>
      <c r="IK200" s="195"/>
      <c r="IL200" s="195"/>
      <c r="IM200" s="195"/>
      <c r="IN200" s="195"/>
      <c r="IO200" s="195"/>
      <c r="IP200" s="195"/>
      <c r="IQ200" s="195"/>
      <c r="IR200" s="195"/>
      <c r="IS200" s="195"/>
      <c r="IT200" s="195"/>
      <c r="IU200" s="195"/>
      <c r="IV200" s="195"/>
    </row>
    <row r="201" spans="1:256" s="432" customFormat="1" ht="16.5" hidden="1" customHeight="1" x14ac:dyDescent="0.2">
      <c r="A201" s="349" t="s">
        <v>508</v>
      </c>
      <c r="B201" s="528" t="s">
        <v>160</v>
      </c>
      <c r="C201" s="323"/>
      <c r="D201" s="323"/>
      <c r="E201" s="323"/>
      <c r="F201" s="432" t="e">
        <f>#REF!</f>
        <v>#REF!</v>
      </c>
      <c r="G201" s="432" t="e">
        <f>#REF!</f>
        <v>#REF!</v>
      </c>
      <c r="H201" s="1061"/>
      <c r="I201" s="1061"/>
      <c r="J201" s="1061"/>
      <c r="K201" s="1061"/>
      <c r="L201" s="1061"/>
      <c r="M201" s="1061"/>
      <c r="N201" s="1061"/>
      <c r="O201" s="1061"/>
      <c r="P201" s="1061"/>
      <c r="Q201" s="1061"/>
      <c r="R201" s="1061"/>
      <c r="S201" s="1061"/>
      <c r="T201" s="1061"/>
      <c r="U201" s="1061"/>
      <c r="V201" s="1061"/>
      <c r="W201" s="1061"/>
      <c r="X201" s="1061"/>
      <c r="Y201" s="1061"/>
      <c r="Z201" s="1061"/>
      <c r="AA201" s="481"/>
      <c r="AB201" s="481"/>
      <c r="AC201" s="481"/>
      <c r="AD201" s="481"/>
      <c r="AE201" s="481"/>
      <c r="AF201" s="481"/>
      <c r="AG201" s="481"/>
      <c r="AH201" s="481"/>
      <c r="AI201" s="481"/>
      <c r="AJ201" s="481"/>
      <c r="AK201" s="481"/>
      <c r="AL201" s="481"/>
      <c r="AM201" s="481"/>
      <c r="AN201" s="481"/>
      <c r="AO201" s="481"/>
      <c r="AP201" s="481"/>
      <c r="AQ201" s="481"/>
      <c r="AR201" s="481"/>
      <c r="AS201" s="481"/>
      <c r="AT201" s="481"/>
      <c r="AU201" s="481"/>
      <c r="AV201" s="481"/>
      <c r="AW201" s="481"/>
      <c r="AX201" s="481"/>
      <c r="AY201" s="481"/>
      <c r="AZ201" s="481"/>
      <c r="BA201" s="481"/>
      <c r="BB201" s="481"/>
      <c r="BC201" s="481"/>
      <c r="BD201" s="481"/>
      <c r="BE201" s="481"/>
      <c r="BF201" s="481"/>
      <c r="BG201" s="481"/>
      <c r="BH201" s="481"/>
      <c r="BI201" s="481"/>
      <c r="BJ201" s="481"/>
      <c r="BK201" s="481"/>
      <c r="BL201" s="481"/>
      <c r="BM201" s="481"/>
      <c r="BN201" s="481"/>
      <c r="BO201" s="481"/>
      <c r="BP201" s="481"/>
      <c r="BQ201" s="481"/>
      <c r="BR201" s="481"/>
      <c r="BS201" s="481"/>
      <c r="BT201" s="481"/>
      <c r="BU201" s="481"/>
      <c r="BV201" s="481"/>
      <c r="BW201" s="481"/>
      <c r="BX201" s="481"/>
      <c r="BY201" s="481"/>
      <c r="BZ201" s="481"/>
      <c r="CA201" s="481"/>
      <c r="CB201" s="481"/>
      <c r="CC201" s="481"/>
      <c r="CD201" s="481"/>
      <c r="CE201" s="481"/>
      <c r="CF201" s="481"/>
      <c r="CG201" s="481"/>
      <c r="CH201" s="481"/>
      <c r="CI201" s="481"/>
      <c r="CJ201" s="481"/>
      <c r="CK201" s="481"/>
      <c r="CL201" s="481"/>
      <c r="CM201" s="481"/>
      <c r="CN201" s="481"/>
      <c r="CO201" s="481"/>
      <c r="CP201" s="481"/>
      <c r="CQ201" s="481"/>
      <c r="CR201" s="481"/>
      <c r="CS201" s="481"/>
      <c r="CT201" s="481"/>
      <c r="CU201" s="481"/>
      <c r="CV201" s="481"/>
      <c r="CW201" s="481"/>
      <c r="CX201" s="481"/>
      <c r="CY201" s="481"/>
      <c r="CZ201" s="481"/>
      <c r="DA201" s="481"/>
      <c r="DB201" s="481"/>
      <c r="DC201" s="481"/>
      <c r="DD201" s="481"/>
      <c r="DE201" s="481"/>
      <c r="DF201" s="481"/>
      <c r="DG201" s="481"/>
      <c r="DH201" s="481"/>
      <c r="DI201" s="481"/>
      <c r="DJ201" s="481"/>
      <c r="DK201" s="481"/>
      <c r="DL201" s="481"/>
      <c r="DM201" s="481"/>
      <c r="DN201" s="481"/>
      <c r="DO201" s="481"/>
      <c r="DP201" s="481"/>
      <c r="DQ201" s="481"/>
      <c r="DR201" s="481"/>
      <c r="DS201" s="481"/>
      <c r="DT201" s="481"/>
      <c r="DU201" s="481"/>
      <c r="DV201" s="481"/>
      <c r="DW201" s="481"/>
      <c r="DX201" s="481"/>
      <c r="DY201" s="481"/>
      <c r="DZ201" s="481"/>
      <c r="EA201" s="481"/>
      <c r="EB201" s="481"/>
      <c r="EC201" s="481"/>
      <c r="ED201" s="481"/>
      <c r="EE201" s="481"/>
      <c r="EF201" s="481"/>
      <c r="EG201" s="481"/>
      <c r="EH201" s="481"/>
      <c r="EI201" s="481"/>
      <c r="EJ201" s="481"/>
      <c r="EK201" s="481"/>
      <c r="EL201" s="481"/>
      <c r="EM201" s="481"/>
      <c r="EN201" s="481"/>
      <c r="EO201" s="481"/>
      <c r="EP201" s="481"/>
      <c r="EQ201" s="481"/>
      <c r="ER201" s="481"/>
      <c r="ES201" s="481"/>
      <c r="ET201" s="481"/>
      <c r="EU201" s="481"/>
      <c r="EV201" s="481"/>
      <c r="EW201" s="481"/>
      <c r="EX201" s="481"/>
      <c r="EY201" s="481"/>
      <c r="EZ201" s="481"/>
      <c r="FA201" s="481"/>
      <c r="FB201" s="481"/>
      <c r="FC201" s="481"/>
      <c r="FD201" s="481"/>
      <c r="FE201" s="481"/>
      <c r="FF201" s="481"/>
      <c r="FG201" s="481"/>
      <c r="FH201" s="481"/>
      <c r="FI201" s="481"/>
      <c r="FJ201" s="481"/>
      <c r="FK201" s="481"/>
      <c r="FL201" s="481"/>
      <c r="FM201" s="481"/>
      <c r="FN201" s="481"/>
      <c r="FO201" s="481"/>
      <c r="FP201" s="481"/>
      <c r="FQ201" s="481"/>
      <c r="FR201" s="481"/>
      <c r="FS201" s="481"/>
      <c r="FT201" s="481"/>
      <c r="FU201" s="481"/>
      <c r="FV201" s="481"/>
      <c r="FW201" s="481"/>
      <c r="FX201" s="481"/>
      <c r="FY201" s="481"/>
      <c r="FZ201" s="481"/>
      <c r="GA201" s="481"/>
      <c r="GB201" s="481"/>
      <c r="GC201" s="481"/>
      <c r="GD201" s="481"/>
      <c r="GE201" s="481"/>
      <c r="GF201" s="481"/>
      <c r="GG201" s="481"/>
      <c r="GH201" s="481"/>
      <c r="GI201" s="481"/>
      <c r="GJ201" s="481"/>
      <c r="GK201" s="481"/>
      <c r="GL201" s="481"/>
      <c r="GM201" s="481"/>
      <c r="GN201" s="481"/>
      <c r="GO201" s="481"/>
      <c r="GP201" s="481"/>
      <c r="GQ201" s="481"/>
      <c r="GR201" s="481"/>
      <c r="GS201" s="481"/>
      <c r="GT201" s="481"/>
      <c r="GU201" s="481"/>
      <c r="GV201" s="481"/>
      <c r="GW201" s="481"/>
      <c r="GX201" s="481"/>
      <c r="GY201" s="481"/>
      <c r="GZ201" s="481"/>
      <c r="HA201" s="481"/>
      <c r="HB201" s="481"/>
      <c r="HC201" s="481"/>
      <c r="HD201" s="481"/>
      <c r="HE201" s="481"/>
      <c r="HF201" s="481"/>
      <c r="HG201" s="481"/>
      <c r="HH201" s="481"/>
      <c r="HI201" s="481"/>
      <c r="HJ201" s="481"/>
      <c r="HK201" s="481"/>
      <c r="HL201" s="481"/>
      <c r="HM201" s="481"/>
      <c r="HN201" s="481"/>
      <c r="HO201" s="481"/>
      <c r="HP201" s="481"/>
      <c r="HQ201" s="481"/>
      <c r="HR201" s="481"/>
      <c r="HS201" s="481"/>
      <c r="HT201" s="481"/>
      <c r="HU201" s="481"/>
      <c r="HV201" s="481"/>
      <c r="HW201" s="481"/>
      <c r="HX201" s="481"/>
      <c r="HY201" s="481"/>
      <c r="HZ201" s="481"/>
      <c r="IA201" s="481"/>
      <c r="IB201" s="481"/>
      <c r="IC201" s="481"/>
      <c r="ID201" s="481"/>
      <c r="IE201" s="481"/>
      <c r="IF201" s="481"/>
      <c r="IG201" s="481"/>
      <c r="IH201" s="481"/>
      <c r="II201" s="481"/>
      <c r="IJ201" s="481"/>
      <c r="IK201" s="481"/>
      <c r="IL201" s="481"/>
      <c r="IM201" s="481"/>
      <c r="IN201" s="481"/>
      <c r="IO201" s="481"/>
      <c r="IP201" s="481"/>
      <c r="IQ201" s="481"/>
      <c r="IR201" s="481"/>
      <c r="IS201" s="481"/>
      <c r="IT201" s="481"/>
      <c r="IU201" s="481"/>
      <c r="IV201" s="481"/>
    </row>
    <row r="202" spans="1:256" s="432" customFormat="1" ht="16.5" hidden="1" customHeight="1" x14ac:dyDescent="0.2">
      <c r="A202" s="349" t="s">
        <v>509</v>
      </c>
      <c r="B202" s="528" t="s">
        <v>161</v>
      </c>
      <c r="C202" s="522"/>
      <c r="D202" s="323"/>
      <c r="E202" s="323"/>
      <c r="F202" s="432" t="e">
        <f>F201-F200</f>
        <v>#REF!</v>
      </c>
      <c r="G202" s="432" t="e">
        <f>G201-G200</f>
        <v>#REF!</v>
      </c>
      <c r="H202" s="1061"/>
      <c r="I202" s="1061"/>
      <c r="J202" s="1061"/>
      <c r="K202" s="1061"/>
      <c r="L202" s="1061"/>
      <c r="M202" s="1061"/>
      <c r="N202" s="1061"/>
      <c r="O202" s="1061"/>
      <c r="P202" s="1061"/>
      <c r="Q202" s="1061"/>
      <c r="R202" s="1061"/>
      <c r="S202" s="1061"/>
      <c r="T202" s="1061"/>
      <c r="U202" s="1061"/>
      <c r="V202" s="1061"/>
      <c r="W202" s="1061"/>
      <c r="X202" s="1061"/>
      <c r="Y202" s="1061"/>
      <c r="Z202" s="1061"/>
      <c r="AA202" s="481"/>
      <c r="AB202" s="481"/>
      <c r="AC202" s="481"/>
      <c r="AD202" s="481"/>
      <c r="AE202" s="481"/>
      <c r="AF202" s="481"/>
      <c r="AG202" s="481"/>
      <c r="AH202" s="481"/>
      <c r="AI202" s="481"/>
      <c r="AJ202" s="481"/>
      <c r="AK202" s="481"/>
      <c r="AL202" s="481"/>
      <c r="AM202" s="481"/>
      <c r="AN202" s="481"/>
      <c r="AO202" s="481"/>
      <c r="AP202" s="481"/>
      <c r="AQ202" s="481"/>
      <c r="AR202" s="481"/>
      <c r="AS202" s="481"/>
      <c r="AT202" s="481"/>
      <c r="AU202" s="481"/>
      <c r="AV202" s="481"/>
      <c r="AW202" s="481"/>
      <c r="AX202" s="481"/>
      <c r="AY202" s="481"/>
      <c r="AZ202" s="481"/>
      <c r="BA202" s="481"/>
      <c r="BB202" s="481"/>
      <c r="BC202" s="481"/>
      <c r="BD202" s="481"/>
      <c r="BE202" s="481"/>
      <c r="BF202" s="481"/>
      <c r="BG202" s="481"/>
      <c r="BH202" s="481"/>
      <c r="BI202" s="481"/>
      <c r="BJ202" s="481"/>
      <c r="BK202" s="481"/>
      <c r="BL202" s="481"/>
      <c r="BM202" s="481"/>
      <c r="BN202" s="481"/>
      <c r="BO202" s="481"/>
      <c r="BP202" s="481"/>
      <c r="BQ202" s="481"/>
      <c r="BR202" s="481"/>
      <c r="BS202" s="481"/>
      <c r="BT202" s="481"/>
      <c r="BU202" s="481"/>
      <c r="BV202" s="481"/>
      <c r="BW202" s="481"/>
      <c r="BX202" s="481"/>
      <c r="BY202" s="481"/>
      <c r="BZ202" s="481"/>
      <c r="CA202" s="481"/>
      <c r="CB202" s="481"/>
      <c r="CC202" s="481"/>
      <c r="CD202" s="481"/>
      <c r="CE202" s="481"/>
      <c r="CF202" s="481"/>
      <c r="CG202" s="481"/>
      <c r="CH202" s="481"/>
      <c r="CI202" s="481"/>
      <c r="CJ202" s="481"/>
      <c r="CK202" s="481"/>
      <c r="CL202" s="481"/>
      <c r="CM202" s="481"/>
      <c r="CN202" s="481"/>
      <c r="CO202" s="481"/>
      <c r="CP202" s="481"/>
      <c r="CQ202" s="481"/>
      <c r="CR202" s="481"/>
      <c r="CS202" s="481"/>
      <c r="CT202" s="481"/>
      <c r="CU202" s="481"/>
      <c r="CV202" s="481"/>
      <c r="CW202" s="481"/>
      <c r="CX202" s="481"/>
      <c r="CY202" s="481"/>
      <c r="CZ202" s="481"/>
      <c r="DA202" s="481"/>
      <c r="DB202" s="481"/>
      <c r="DC202" s="481"/>
      <c r="DD202" s="481"/>
      <c r="DE202" s="481"/>
      <c r="DF202" s="481"/>
      <c r="DG202" s="481"/>
      <c r="DH202" s="481"/>
      <c r="DI202" s="481"/>
      <c r="DJ202" s="481"/>
      <c r="DK202" s="481"/>
      <c r="DL202" s="481"/>
      <c r="DM202" s="481"/>
      <c r="DN202" s="481"/>
      <c r="DO202" s="481"/>
      <c r="DP202" s="481"/>
      <c r="DQ202" s="481"/>
      <c r="DR202" s="481"/>
      <c r="DS202" s="481"/>
      <c r="DT202" s="481"/>
      <c r="DU202" s="481"/>
      <c r="DV202" s="481"/>
      <c r="DW202" s="481"/>
      <c r="DX202" s="481"/>
      <c r="DY202" s="481"/>
      <c r="DZ202" s="481"/>
      <c r="EA202" s="481"/>
      <c r="EB202" s="481"/>
      <c r="EC202" s="481"/>
      <c r="ED202" s="481"/>
      <c r="EE202" s="481"/>
      <c r="EF202" s="481"/>
      <c r="EG202" s="481"/>
      <c r="EH202" s="481"/>
      <c r="EI202" s="481"/>
      <c r="EJ202" s="481"/>
      <c r="EK202" s="481"/>
      <c r="EL202" s="481"/>
      <c r="EM202" s="481"/>
      <c r="EN202" s="481"/>
      <c r="EO202" s="481"/>
      <c r="EP202" s="481"/>
      <c r="EQ202" s="481"/>
      <c r="ER202" s="481"/>
      <c r="ES202" s="481"/>
      <c r="ET202" s="481"/>
      <c r="EU202" s="481"/>
      <c r="EV202" s="481"/>
      <c r="EW202" s="481"/>
      <c r="EX202" s="481"/>
      <c r="EY202" s="481"/>
      <c r="EZ202" s="481"/>
      <c r="FA202" s="481"/>
      <c r="FB202" s="481"/>
      <c r="FC202" s="481"/>
      <c r="FD202" s="481"/>
      <c r="FE202" s="481"/>
      <c r="FF202" s="481"/>
      <c r="FG202" s="481"/>
      <c r="FH202" s="481"/>
      <c r="FI202" s="481"/>
      <c r="FJ202" s="481"/>
      <c r="FK202" s="481"/>
      <c r="FL202" s="481"/>
      <c r="FM202" s="481"/>
      <c r="FN202" s="481"/>
      <c r="FO202" s="481"/>
      <c r="FP202" s="481"/>
      <c r="FQ202" s="481"/>
      <c r="FR202" s="481"/>
      <c r="FS202" s="481"/>
      <c r="FT202" s="481"/>
      <c r="FU202" s="481"/>
      <c r="FV202" s="481"/>
      <c r="FW202" s="481"/>
      <c r="FX202" s="481"/>
      <c r="FY202" s="481"/>
      <c r="FZ202" s="481"/>
      <c r="GA202" s="481"/>
      <c r="GB202" s="481"/>
      <c r="GC202" s="481"/>
      <c r="GD202" s="481"/>
      <c r="GE202" s="481"/>
      <c r="GF202" s="481"/>
      <c r="GG202" s="481"/>
      <c r="GH202" s="481"/>
      <c r="GI202" s="481"/>
      <c r="GJ202" s="481"/>
      <c r="GK202" s="481"/>
      <c r="GL202" s="481"/>
      <c r="GM202" s="481"/>
      <c r="GN202" s="481"/>
      <c r="GO202" s="481"/>
      <c r="GP202" s="481"/>
      <c r="GQ202" s="481"/>
      <c r="GR202" s="481"/>
      <c r="GS202" s="481"/>
      <c r="GT202" s="481"/>
      <c r="GU202" s="481"/>
      <c r="GV202" s="481"/>
      <c r="GW202" s="481"/>
      <c r="GX202" s="481"/>
      <c r="GY202" s="481"/>
      <c r="GZ202" s="481"/>
      <c r="HA202" s="481"/>
      <c r="HB202" s="481"/>
      <c r="HC202" s="481"/>
      <c r="HD202" s="481"/>
      <c r="HE202" s="481"/>
      <c r="HF202" s="481"/>
      <c r="HG202" s="481"/>
      <c r="HH202" s="481"/>
      <c r="HI202" s="481"/>
      <c r="HJ202" s="481"/>
      <c r="HK202" s="481"/>
      <c r="HL202" s="481"/>
      <c r="HM202" s="481"/>
      <c r="HN202" s="481"/>
      <c r="HO202" s="481"/>
      <c r="HP202" s="481"/>
      <c r="HQ202" s="481"/>
      <c r="HR202" s="481"/>
      <c r="HS202" s="481"/>
      <c r="HT202" s="481"/>
      <c r="HU202" s="481"/>
      <c r="HV202" s="481"/>
      <c r="HW202" s="481"/>
      <c r="HX202" s="481"/>
      <c r="HY202" s="481"/>
      <c r="HZ202" s="481"/>
      <c r="IA202" s="481"/>
      <c r="IB202" s="481"/>
      <c r="IC202" s="481"/>
      <c r="ID202" s="481"/>
      <c r="IE202" s="481"/>
      <c r="IF202" s="481"/>
      <c r="IG202" s="481"/>
      <c r="IH202" s="481"/>
      <c r="II202" s="481"/>
      <c r="IJ202" s="481"/>
      <c r="IK202" s="481"/>
      <c r="IL202" s="481"/>
      <c r="IM202" s="481"/>
      <c r="IN202" s="481"/>
      <c r="IO202" s="481"/>
      <c r="IP202" s="481"/>
      <c r="IQ202" s="481"/>
      <c r="IR202" s="481"/>
      <c r="IS202" s="481"/>
      <c r="IT202" s="481"/>
      <c r="IU202" s="481"/>
      <c r="IV202" s="481"/>
    </row>
    <row r="203" spans="1:256" s="40" customFormat="1" ht="16.5" customHeight="1" x14ac:dyDescent="0.2">
      <c r="A203" s="75" t="s">
        <v>566</v>
      </c>
      <c r="B203" s="526" t="s">
        <v>160</v>
      </c>
      <c r="C203" s="40">
        <f>'Common-size FS'!C12</f>
        <v>1877</v>
      </c>
      <c r="D203" s="40">
        <f>'Common-size FS'!D12</f>
        <v>1285</v>
      </c>
      <c r="E203" s="40">
        <f>'Common-size FS'!E12</f>
        <v>1194</v>
      </c>
      <c r="F203" s="40">
        <f>'Common-size FS'!F12</f>
        <v>827</v>
      </c>
      <c r="G203" s="40">
        <f>'Common-size FS'!G12</f>
        <v>595</v>
      </c>
      <c r="H203" s="725"/>
      <c r="I203" s="725"/>
      <c r="J203" s="725"/>
      <c r="K203" s="725"/>
      <c r="L203" s="725"/>
      <c r="M203" s="725"/>
      <c r="N203" s="725"/>
      <c r="O203" s="725"/>
      <c r="P203" s="725"/>
      <c r="Q203" s="725"/>
      <c r="R203" s="725"/>
      <c r="S203" s="725"/>
      <c r="T203" s="725"/>
      <c r="U203" s="725"/>
      <c r="V203" s="725"/>
      <c r="W203" s="725"/>
      <c r="X203" s="725"/>
      <c r="Y203" s="725"/>
      <c r="Z203" s="725"/>
      <c r="AA203" s="149"/>
      <c r="AB203" s="149"/>
      <c r="AC203" s="149"/>
      <c r="AD203" s="149"/>
      <c r="AE203" s="149"/>
      <c r="AF203" s="149"/>
      <c r="AG203" s="149"/>
      <c r="AH203" s="149"/>
      <c r="AI203" s="149"/>
      <c r="AJ203" s="149"/>
      <c r="AK203" s="149"/>
      <c r="AL203" s="149"/>
      <c r="AM203" s="149"/>
      <c r="AN203" s="149"/>
      <c r="AO203" s="149"/>
      <c r="AP203" s="149"/>
      <c r="AQ203" s="149"/>
      <c r="AR203" s="149"/>
      <c r="AS203" s="149"/>
      <c r="AT203" s="149"/>
      <c r="AU203" s="149"/>
      <c r="AV203" s="149"/>
      <c r="AW203" s="149"/>
      <c r="AX203" s="149"/>
      <c r="AY203" s="149"/>
      <c r="AZ203" s="149"/>
      <c r="BA203" s="149"/>
      <c r="BB203" s="149"/>
      <c r="BC203" s="149"/>
      <c r="BD203" s="149"/>
      <c r="BE203" s="149"/>
      <c r="BF203" s="149"/>
      <c r="BG203" s="149"/>
      <c r="BH203" s="149"/>
      <c r="BI203" s="149"/>
      <c r="BJ203" s="149"/>
      <c r="BK203" s="149"/>
      <c r="BL203" s="149"/>
      <c r="BM203" s="149"/>
      <c r="BN203" s="149"/>
      <c r="BO203" s="149"/>
      <c r="BP203" s="149"/>
      <c r="BQ203" s="149"/>
      <c r="BR203" s="149"/>
      <c r="BS203" s="149"/>
      <c r="BT203" s="149"/>
      <c r="BU203" s="149"/>
      <c r="BV203" s="149"/>
      <c r="BW203" s="149"/>
      <c r="BX203" s="149"/>
      <c r="BY203" s="149"/>
      <c r="BZ203" s="149"/>
      <c r="CA203" s="149"/>
      <c r="CB203" s="149"/>
      <c r="CC203" s="149"/>
      <c r="CD203" s="149"/>
      <c r="CE203" s="149"/>
      <c r="CF203" s="149"/>
      <c r="CG203" s="149"/>
      <c r="CH203" s="149"/>
      <c r="CI203" s="149"/>
      <c r="CJ203" s="149"/>
      <c r="CK203" s="149"/>
      <c r="CL203" s="149"/>
      <c r="CM203" s="149"/>
      <c r="CN203" s="149"/>
      <c r="CO203" s="149"/>
      <c r="CP203" s="149"/>
      <c r="CQ203" s="149"/>
      <c r="CR203" s="149"/>
      <c r="CS203" s="149"/>
      <c r="CT203" s="149"/>
      <c r="CU203" s="149"/>
      <c r="CV203" s="149"/>
      <c r="CW203" s="149"/>
      <c r="CX203" s="149"/>
      <c r="CY203" s="149"/>
      <c r="CZ203" s="149"/>
      <c r="DA203" s="149"/>
      <c r="DB203" s="149"/>
      <c r="DC203" s="149"/>
      <c r="DD203" s="149"/>
      <c r="DE203" s="149"/>
      <c r="DF203" s="149"/>
      <c r="DG203" s="149"/>
      <c r="DH203" s="149"/>
      <c r="DI203" s="149"/>
      <c r="DJ203" s="149"/>
      <c r="DK203" s="149"/>
      <c r="DL203" s="149"/>
      <c r="DM203" s="149"/>
      <c r="DN203" s="149"/>
      <c r="DO203" s="149"/>
      <c r="DP203" s="149"/>
      <c r="DQ203" s="149"/>
      <c r="DR203" s="149"/>
      <c r="DS203" s="149"/>
      <c r="DT203" s="149"/>
      <c r="DU203" s="149"/>
      <c r="DV203" s="149"/>
      <c r="DW203" s="149"/>
      <c r="DX203" s="149"/>
      <c r="DY203" s="149"/>
      <c r="DZ203" s="149"/>
      <c r="EA203" s="149"/>
      <c r="EB203" s="149"/>
      <c r="EC203" s="149"/>
      <c r="ED203" s="149"/>
      <c r="EE203" s="149"/>
      <c r="EF203" s="149"/>
      <c r="EG203" s="149"/>
      <c r="EH203" s="149"/>
      <c r="EI203" s="149"/>
      <c r="EJ203" s="149"/>
      <c r="EK203" s="149"/>
      <c r="EL203" s="149"/>
      <c r="EM203" s="149"/>
      <c r="EN203" s="149"/>
      <c r="EO203" s="149"/>
      <c r="EP203" s="149"/>
      <c r="EQ203" s="149"/>
      <c r="ER203" s="149"/>
      <c r="ES203" s="149"/>
      <c r="ET203" s="149"/>
      <c r="EU203" s="149"/>
      <c r="EV203" s="149"/>
      <c r="EW203" s="149"/>
      <c r="EX203" s="149"/>
      <c r="EY203" s="149"/>
      <c r="EZ203" s="149"/>
      <c r="FA203" s="149"/>
      <c r="FB203" s="149"/>
      <c r="FC203" s="149"/>
      <c r="FD203" s="149"/>
      <c r="FE203" s="149"/>
      <c r="FF203" s="149"/>
      <c r="FG203" s="149"/>
      <c r="FH203" s="149"/>
      <c r="FI203" s="149"/>
      <c r="FJ203" s="149"/>
      <c r="FK203" s="149"/>
      <c r="FL203" s="149"/>
      <c r="FM203" s="149"/>
      <c r="FN203" s="149"/>
      <c r="FO203" s="149"/>
      <c r="FP203" s="149"/>
      <c r="FQ203" s="149"/>
      <c r="FR203" s="149"/>
      <c r="FS203" s="149"/>
      <c r="FT203" s="149"/>
      <c r="FU203" s="149"/>
      <c r="FV203" s="149"/>
      <c r="FW203" s="149"/>
      <c r="FX203" s="149"/>
      <c r="FY203" s="149"/>
      <c r="FZ203" s="149"/>
      <c r="GA203" s="149"/>
      <c r="GB203" s="149"/>
      <c r="GC203" s="149"/>
      <c r="GD203" s="149"/>
      <c r="GE203" s="149"/>
      <c r="GF203" s="149"/>
      <c r="GG203" s="149"/>
      <c r="GH203" s="149"/>
      <c r="GI203" s="149"/>
      <c r="GJ203" s="149"/>
      <c r="GK203" s="149"/>
      <c r="GL203" s="149"/>
      <c r="GM203" s="149"/>
      <c r="GN203" s="149"/>
      <c r="GO203" s="149"/>
      <c r="GP203" s="149"/>
      <c r="GQ203" s="149"/>
      <c r="GR203" s="149"/>
      <c r="GS203" s="149"/>
      <c r="GT203" s="149"/>
      <c r="GU203" s="149"/>
      <c r="GV203" s="149"/>
      <c r="GW203" s="149"/>
      <c r="GX203" s="149"/>
      <c r="GY203" s="149"/>
      <c r="GZ203" s="149"/>
      <c r="HA203" s="149"/>
      <c r="HB203" s="149"/>
      <c r="HC203" s="149"/>
      <c r="HD203" s="149"/>
      <c r="HE203" s="149"/>
      <c r="HF203" s="149"/>
      <c r="HG203" s="149"/>
      <c r="HH203" s="149"/>
      <c r="HI203" s="149"/>
      <c r="HJ203" s="149"/>
      <c r="HK203" s="149"/>
      <c r="HL203" s="149"/>
      <c r="HM203" s="149"/>
      <c r="HN203" s="149"/>
      <c r="HO203" s="149"/>
      <c r="HP203" s="149"/>
      <c r="HQ203" s="149"/>
      <c r="HR203" s="149"/>
      <c r="HS203" s="149"/>
      <c r="HT203" s="149"/>
      <c r="HU203" s="149"/>
      <c r="HV203" s="149"/>
      <c r="HW203" s="149"/>
      <c r="HX203" s="149"/>
      <c r="HY203" s="149"/>
      <c r="HZ203" s="149"/>
      <c r="IA203" s="149"/>
      <c r="IB203" s="149"/>
      <c r="IC203" s="149"/>
      <c r="ID203" s="149"/>
      <c r="IE203" s="149"/>
      <c r="IF203" s="149"/>
      <c r="IG203" s="149"/>
      <c r="IH203" s="149"/>
      <c r="II203" s="149"/>
      <c r="IJ203" s="149"/>
      <c r="IK203" s="149"/>
      <c r="IL203" s="149"/>
      <c r="IM203" s="149"/>
      <c r="IN203" s="149"/>
      <c r="IO203" s="149"/>
      <c r="IP203" s="149"/>
      <c r="IQ203" s="149"/>
      <c r="IR203" s="149"/>
      <c r="IS203" s="149"/>
      <c r="IT203" s="149"/>
      <c r="IU203" s="149"/>
      <c r="IV203" s="149"/>
    </row>
    <row r="204" spans="1:256" s="29" customFormat="1" ht="16.5" customHeight="1" thickBot="1" x14ac:dyDescent="0.25">
      <c r="A204" s="206" t="s">
        <v>481</v>
      </c>
      <c r="B204" s="529"/>
      <c r="C204" s="414">
        <f>IF(C200&lt;0,0,IF(C203&lt;C200,C203,C200))</f>
        <v>543</v>
      </c>
      <c r="D204" s="414">
        <f>IF(D200&lt;0,0,IF(D203&lt;D200,D203,D200))</f>
        <v>510</v>
      </c>
      <c r="E204" s="414">
        <f>IF(E200&lt;0,0,IF(E203&lt;E200,E203,E200))</f>
        <v>118</v>
      </c>
      <c r="F204" s="414">
        <f>IF(F200&lt;0,0,IF(F203&lt;F200,F203,F200))</f>
        <v>0</v>
      </c>
      <c r="G204" s="414">
        <f>IF(G200&lt;0,0,IF(G203&lt;G200,G203,G200))</f>
        <v>0</v>
      </c>
      <c r="H204" s="727"/>
      <c r="I204" s="727"/>
      <c r="J204" s="727"/>
      <c r="K204" s="727"/>
      <c r="L204" s="727"/>
      <c r="M204" s="727"/>
      <c r="N204" s="727"/>
      <c r="O204" s="727"/>
      <c r="P204" s="727"/>
      <c r="Q204" s="727"/>
      <c r="R204" s="727"/>
      <c r="S204" s="727"/>
      <c r="T204" s="727"/>
      <c r="U204" s="727"/>
      <c r="V204" s="727"/>
      <c r="W204" s="727"/>
      <c r="X204" s="727"/>
      <c r="Y204" s="727"/>
      <c r="Z204" s="727"/>
      <c r="AA204" s="419"/>
      <c r="AB204" s="419"/>
      <c r="AC204" s="419"/>
      <c r="AD204" s="419"/>
      <c r="AE204" s="419"/>
      <c r="AF204" s="419"/>
      <c r="AG204" s="419"/>
      <c r="AH204" s="419"/>
      <c r="AI204" s="419"/>
      <c r="AJ204" s="419"/>
      <c r="AK204" s="419"/>
      <c r="AL204" s="419"/>
      <c r="AM204" s="419"/>
      <c r="AN204" s="419"/>
      <c r="AO204" s="419"/>
      <c r="AP204" s="419"/>
      <c r="AQ204" s="419"/>
      <c r="AR204" s="419"/>
      <c r="AS204" s="419"/>
      <c r="AT204" s="419"/>
      <c r="AU204" s="419"/>
      <c r="AV204" s="419"/>
      <c r="AW204" s="419"/>
      <c r="AX204" s="419"/>
      <c r="AY204" s="419"/>
      <c r="AZ204" s="419"/>
      <c r="BA204" s="419"/>
      <c r="BB204" s="419"/>
      <c r="BC204" s="419"/>
      <c r="BD204" s="419"/>
      <c r="BE204" s="419"/>
      <c r="BF204" s="419"/>
      <c r="BG204" s="419"/>
      <c r="BH204" s="419"/>
      <c r="BI204" s="419"/>
      <c r="BJ204" s="419"/>
      <c r="BK204" s="419"/>
      <c r="BL204" s="419"/>
      <c r="BM204" s="419"/>
      <c r="BN204" s="419"/>
      <c r="BO204" s="419"/>
      <c r="BP204" s="419"/>
      <c r="BQ204" s="419"/>
      <c r="BR204" s="419"/>
      <c r="BS204" s="419"/>
      <c r="BT204" s="419"/>
      <c r="BU204" s="419"/>
      <c r="BV204" s="419"/>
      <c r="BW204" s="419"/>
      <c r="BX204" s="419"/>
      <c r="BY204" s="419"/>
      <c r="BZ204" s="419"/>
      <c r="CA204" s="419"/>
      <c r="CB204" s="419"/>
      <c r="CC204" s="419"/>
      <c r="CD204" s="419"/>
      <c r="CE204" s="419"/>
      <c r="CF204" s="419"/>
      <c r="CG204" s="419"/>
      <c r="CH204" s="419"/>
      <c r="CI204" s="419"/>
      <c r="CJ204" s="419"/>
      <c r="CK204" s="419"/>
      <c r="CL204" s="419"/>
      <c r="CM204" s="419"/>
      <c r="CN204" s="419"/>
      <c r="CO204" s="419"/>
      <c r="CP204" s="419"/>
      <c r="CQ204" s="419"/>
      <c r="CR204" s="419"/>
      <c r="CS204" s="419"/>
      <c r="CT204" s="419"/>
      <c r="CU204" s="419"/>
      <c r="CV204" s="419"/>
      <c r="CW204" s="419"/>
      <c r="CX204" s="419"/>
      <c r="CY204" s="419"/>
      <c r="CZ204" s="419"/>
      <c r="DA204" s="419"/>
      <c r="DB204" s="419"/>
      <c r="DC204" s="419"/>
      <c r="DD204" s="419"/>
      <c r="DE204" s="419"/>
      <c r="DF204" s="419"/>
      <c r="DG204" s="419"/>
      <c r="DH204" s="419"/>
      <c r="DI204" s="419"/>
      <c r="DJ204" s="419"/>
      <c r="DK204" s="419"/>
      <c r="DL204" s="419"/>
      <c r="DM204" s="419"/>
      <c r="DN204" s="419"/>
      <c r="DO204" s="419"/>
      <c r="DP204" s="419"/>
      <c r="DQ204" s="419"/>
      <c r="DR204" s="419"/>
      <c r="DS204" s="419"/>
      <c r="DT204" s="419"/>
      <c r="DU204" s="419"/>
      <c r="DV204" s="419"/>
      <c r="DW204" s="419"/>
      <c r="DX204" s="419"/>
      <c r="DY204" s="419"/>
      <c r="DZ204" s="419"/>
      <c r="EA204" s="419"/>
      <c r="EB204" s="419"/>
      <c r="EC204" s="419"/>
      <c r="ED204" s="419"/>
      <c r="EE204" s="419"/>
      <c r="EF204" s="419"/>
      <c r="EG204" s="419"/>
      <c r="EH204" s="419"/>
      <c r="EI204" s="419"/>
      <c r="EJ204" s="419"/>
      <c r="EK204" s="419"/>
      <c r="EL204" s="419"/>
      <c r="EM204" s="419"/>
      <c r="EN204" s="419"/>
      <c r="EO204" s="419"/>
      <c r="EP204" s="419"/>
      <c r="EQ204" s="419"/>
      <c r="ER204" s="419"/>
      <c r="ES204" s="419"/>
      <c r="ET204" s="419"/>
      <c r="EU204" s="419"/>
      <c r="EV204" s="419"/>
      <c r="EW204" s="419"/>
      <c r="EX204" s="419"/>
      <c r="EY204" s="419"/>
      <c r="EZ204" s="419"/>
      <c r="FA204" s="419"/>
      <c r="FB204" s="419"/>
      <c r="FC204" s="419"/>
      <c r="FD204" s="419"/>
      <c r="FE204" s="419"/>
      <c r="FF204" s="419"/>
      <c r="FG204" s="419"/>
      <c r="FH204" s="419"/>
      <c r="FI204" s="419"/>
      <c r="FJ204" s="419"/>
      <c r="FK204" s="419"/>
      <c r="FL204" s="419"/>
      <c r="FM204" s="419"/>
      <c r="FN204" s="419"/>
      <c r="FO204" s="419"/>
      <c r="FP204" s="419"/>
      <c r="FQ204" s="419"/>
      <c r="FR204" s="419"/>
      <c r="FS204" s="419"/>
      <c r="FT204" s="419"/>
      <c r="FU204" s="419"/>
      <c r="FV204" s="419"/>
      <c r="FW204" s="419"/>
      <c r="FX204" s="419"/>
      <c r="FY204" s="419"/>
      <c r="FZ204" s="419"/>
      <c r="GA204" s="419"/>
      <c r="GB204" s="419"/>
      <c r="GC204" s="419"/>
      <c r="GD204" s="419"/>
      <c r="GE204" s="419"/>
      <c r="GF204" s="419"/>
      <c r="GG204" s="419"/>
      <c r="GH204" s="419"/>
      <c r="GI204" s="419"/>
      <c r="GJ204" s="419"/>
      <c r="GK204" s="419"/>
      <c r="GL204" s="419"/>
      <c r="GM204" s="419"/>
      <c r="GN204" s="419"/>
      <c r="GO204" s="419"/>
      <c r="GP204" s="419"/>
      <c r="GQ204" s="419"/>
      <c r="GR204" s="419"/>
      <c r="GS204" s="419"/>
      <c r="GT204" s="419"/>
      <c r="GU204" s="419"/>
      <c r="GV204" s="419"/>
      <c r="GW204" s="419"/>
      <c r="GX204" s="419"/>
      <c r="GY204" s="419"/>
      <c r="GZ204" s="419"/>
      <c r="HA204" s="419"/>
      <c r="HB204" s="419"/>
      <c r="HC204" s="419"/>
      <c r="HD204" s="419"/>
      <c r="HE204" s="419"/>
      <c r="HF204" s="419"/>
      <c r="HG204" s="419"/>
      <c r="HH204" s="419"/>
      <c r="HI204" s="419"/>
      <c r="HJ204" s="419"/>
      <c r="HK204" s="419"/>
      <c r="HL204" s="419"/>
      <c r="HM204" s="419"/>
      <c r="HN204" s="419"/>
      <c r="HO204" s="419"/>
      <c r="HP204" s="419"/>
      <c r="HQ204" s="419"/>
      <c r="HR204" s="419"/>
      <c r="HS204" s="419"/>
      <c r="HT204" s="419"/>
      <c r="HU204" s="419"/>
      <c r="HV204" s="419"/>
      <c r="HW204" s="419"/>
      <c r="HX204" s="419"/>
      <c r="HY204" s="419"/>
      <c r="HZ204" s="419"/>
      <c r="IA204" s="419"/>
      <c r="IB204" s="419"/>
      <c r="IC204" s="419"/>
      <c r="ID204" s="419"/>
      <c r="IE204" s="419"/>
      <c r="IF204" s="419"/>
      <c r="IG204" s="419"/>
      <c r="IH204" s="419"/>
      <c r="II204" s="419"/>
      <c r="IJ204" s="419"/>
      <c r="IK204" s="419"/>
      <c r="IL204" s="419"/>
      <c r="IM204" s="419"/>
      <c r="IN204" s="419"/>
      <c r="IO204" s="419"/>
      <c r="IP204" s="419"/>
      <c r="IQ204" s="419"/>
      <c r="IR204" s="419"/>
      <c r="IS204" s="419"/>
      <c r="IT204" s="419"/>
      <c r="IU204" s="419"/>
      <c r="IV204" s="419"/>
    </row>
    <row r="205" spans="1:256" s="1008" customFormat="1" ht="9" customHeight="1" x14ac:dyDescent="0.2">
      <c r="B205" s="1054"/>
      <c r="I205" s="1169"/>
      <c r="J205" s="1169"/>
      <c r="K205" s="1169"/>
      <c r="L205" s="1169"/>
      <c r="M205" s="1169"/>
      <c r="N205" s="1169"/>
      <c r="O205" s="1169"/>
      <c r="P205" s="1169"/>
      <c r="Q205" s="1169"/>
      <c r="R205" s="1169"/>
      <c r="S205" s="1169"/>
      <c r="T205" s="1169"/>
      <c r="U205" s="1169"/>
      <c r="V205" s="1169"/>
      <c r="W205" s="1169"/>
      <c r="X205" s="1169"/>
      <c r="Y205" s="1169"/>
      <c r="Z205" s="1169"/>
    </row>
    <row r="206" spans="1:256" s="683" customFormat="1" ht="16.5" customHeight="1" x14ac:dyDescent="0.2">
      <c r="B206" s="1055"/>
    </row>
    <row r="207" spans="1:256" s="1036" customFormat="1" ht="16.5" customHeight="1" x14ac:dyDescent="0.2">
      <c r="A207" s="682"/>
      <c r="B207" s="1018"/>
      <c r="C207" s="1018"/>
      <c r="D207" s="1017"/>
      <c r="E207" s="1017"/>
      <c r="F207" s="1018"/>
      <c r="H207" s="682"/>
      <c r="I207" s="682"/>
      <c r="J207" s="682"/>
      <c r="K207" s="682"/>
      <c r="L207" s="682"/>
      <c r="M207" s="682"/>
      <c r="N207" s="682"/>
      <c r="O207" s="682"/>
      <c r="P207" s="682"/>
      <c r="Q207" s="682"/>
      <c r="R207" s="682"/>
      <c r="S207" s="682"/>
      <c r="T207" s="682"/>
      <c r="U207" s="682"/>
      <c r="V207" s="682"/>
      <c r="W207" s="682"/>
      <c r="X207" s="682"/>
      <c r="Y207" s="682"/>
      <c r="Z207" s="682"/>
      <c r="AA207" s="682"/>
      <c r="AB207" s="682"/>
      <c r="AC207" s="682"/>
      <c r="AD207" s="682"/>
      <c r="AE207" s="682"/>
      <c r="AF207" s="682"/>
      <c r="AG207" s="682"/>
      <c r="AH207" s="682"/>
      <c r="AI207" s="682"/>
      <c r="AJ207" s="682"/>
      <c r="AK207" s="682"/>
      <c r="AL207" s="682"/>
      <c r="AM207" s="682"/>
      <c r="AN207" s="682"/>
      <c r="AO207" s="682"/>
      <c r="AP207" s="682"/>
      <c r="AQ207" s="682"/>
      <c r="AR207" s="682"/>
      <c r="AS207" s="682"/>
      <c r="AT207" s="682"/>
      <c r="AU207" s="682"/>
      <c r="AV207" s="682"/>
      <c r="AW207" s="682"/>
      <c r="AX207" s="682"/>
      <c r="AY207" s="682"/>
      <c r="AZ207" s="682"/>
      <c r="BA207" s="682"/>
      <c r="BB207" s="682"/>
      <c r="BC207" s="682"/>
      <c r="BD207" s="682"/>
      <c r="BE207" s="682"/>
      <c r="BF207" s="682"/>
      <c r="BG207" s="682"/>
      <c r="BH207" s="682"/>
      <c r="BI207" s="682"/>
      <c r="BJ207" s="682"/>
      <c r="BK207" s="682"/>
      <c r="BL207" s="682"/>
      <c r="BM207" s="682"/>
      <c r="BN207" s="682"/>
      <c r="BO207" s="682"/>
      <c r="BP207" s="682"/>
      <c r="BQ207" s="682"/>
      <c r="BR207" s="682"/>
      <c r="BS207" s="682"/>
      <c r="BT207" s="682"/>
      <c r="BU207" s="682"/>
      <c r="BV207" s="682"/>
      <c r="BW207" s="682"/>
      <c r="BX207" s="682"/>
      <c r="BY207" s="682"/>
      <c r="BZ207" s="682"/>
      <c r="CA207" s="682"/>
      <c r="CB207" s="682"/>
      <c r="CC207" s="682"/>
      <c r="CD207" s="682"/>
      <c r="CE207" s="682"/>
      <c r="CF207" s="682"/>
      <c r="CG207" s="682"/>
      <c r="CH207" s="682"/>
      <c r="CI207" s="682"/>
      <c r="CJ207" s="682"/>
      <c r="CK207" s="682"/>
      <c r="CL207" s="682"/>
      <c r="CM207" s="682"/>
      <c r="CN207" s="682"/>
      <c r="CO207" s="682"/>
      <c r="CP207" s="682"/>
      <c r="CQ207" s="682"/>
      <c r="CR207" s="682"/>
      <c r="CS207" s="682"/>
      <c r="CT207" s="682"/>
      <c r="CU207" s="682"/>
      <c r="CV207" s="682"/>
      <c r="CW207" s="682"/>
      <c r="CX207" s="682"/>
      <c r="CY207" s="682"/>
      <c r="CZ207" s="682"/>
      <c r="DA207" s="682"/>
      <c r="DB207" s="682"/>
      <c r="DC207" s="682"/>
      <c r="DD207" s="682"/>
      <c r="DE207" s="682"/>
      <c r="DF207" s="682"/>
      <c r="DG207" s="682"/>
      <c r="DH207" s="682"/>
      <c r="DI207" s="682"/>
      <c r="DJ207" s="682"/>
      <c r="DK207" s="682"/>
      <c r="DL207" s="682"/>
      <c r="DM207" s="682"/>
      <c r="DN207" s="682"/>
      <c r="DO207" s="682"/>
      <c r="DP207" s="682"/>
      <c r="DQ207" s="682"/>
      <c r="DR207" s="682"/>
      <c r="DS207" s="682"/>
      <c r="DT207" s="682"/>
      <c r="DU207" s="682"/>
      <c r="DV207" s="682"/>
      <c r="DW207" s="682"/>
      <c r="DX207" s="682"/>
      <c r="DY207" s="682"/>
      <c r="DZ207" s="682"/>
      <c r="EA207" s="682"/>
      <c r="EB207" s="682"/>
      <c r="EC207" s="682"/>
      <c r="ED207" s="682"/>
      <c r="EE207" s="682"/>
      <c r="EF207" s="682"/>
      <c r="EG207" s="682"/>
      <c r="EH207" s="682"/>
      <c r="EI207" s="682"/>
      <c r="EJ207" s="682"/>
      <c r="EK207" s="682"/>
      <c r="EL207" s="682"/>
      <c r="EM207" s="682"/>
      <c r="EN207" s="682"/>
      <c r="EO207" s="682"/>
      <c r="EP207" s="682"/>
      <c r="EQ207" s="682"/>
      <c r="ER207" s="682"/>
      <c r="ES207" s="682"/>
      <c r="ET207" s="682"/>
      <c r="EU207" s="682"/>
      <c r="EV207" s="682"/>
      <c r="EW207" s="682"/>
      <c r="EX207" s="682"/>
      <c r="EY207" s="682"/>
      <c r="EZ207" s="682"/>
      <c r="FA207" s="682"/>
      <c r="FB207" s="682"/>
      <c r="FC207" s="682"/>
      <c r="FD207" s="682"/>
      <c r="FE207" s="682"/>
      <c r="FF207" s="682"/>
      <c r="FG207" s="682"/>
      <c r="FH207" s="682"/>
      <c r="FI207" s="682"/>
      <c r="FJ207" s="682"/>
      <c r="FK207" s="682"/>
      <c r="FL207" s="682"/>
      <c r="FM207" s="682"/>
      <c r="FN207" s="682"/>
      <c r="FO207" s="682"/>
      <c r="FP207" s="682"/>
      <c r="FQ207" s="682"/>
      <c r="FR207" s="682"/>
      <c r="FS207" s="682"/>
      <c r="FT207" s="682"/>
      <c r="FU207" s="682"/>
      <c r="FV207" s="682"/>
      <c r="FW207" s="682"/>
      <c r="FX207" s="682"/>
      <c r="FY207" s="682"/>
      <c r="FZ207" s="682"/>
      <c r="GA207" s="682"/>
      <c r="GB207" s="682"/>
      <c r="GC207" s="682"/>
      <c r="GD207" s="682"/>
      <c r="GE207" s="682"/>
      <c r="GF207" s="682"/>
      <c r="GG207" s="682"/>
      <c r="GH207" s="682"/>
      <c r="GI207" s="682"/>
      <c r="GJ207" s="682"/>
      <c r="GK207" s="682"/>
      <c r="GL207" s="682"/>
      <c r="GM207" s="682"/>
      <c r="GN207" s="682"/>
      <c r="GO207" s="682"/>
      <c r="GP207" s="682"/>
      <c r="GQ207" s="682"/>
      <c r="GR207" s="682"/>
      <c r="GS207" s="682"/>
      <c r="GT207" s="682"/>
      <c r="GU207" s="682"/>
      <c r="GV207" s="682"/>
      <c r="GW207" s="682"/>
      <c r="GX207" s="682"/>
      <c r="GY207" s="682"/>
      <c r="GZ207" s="682"/>
      <c r="HA207" s="682"/>
      <c r="HB207" s="682"/>
      <c r="HC207" s="682"/>
      <c r="HD207" s="682"/>
      <c r="HE207" s="682"/>
      <c r="HF207" s="682"/>
      <c r="HG207" s="682"/>
      <c r="HH207" s="682"/>
      <c r="HI207" s="682"/>
      <c r="HJ207" s="682"/>
      <c r="HK207" s="682"/>
      <c r="HL207" s="682"/>
      <c r="HM207" s="682"/>
      <c r="HN207" s="682"/>
      <c r="HO207" s="682"/>
      <c r="HP207" s="682"/>
      <c r="HQ207" s="682"/>
      <c r="HR207" s="682"/>
      <c r="HS207" s="682"/>
      <c r="HT207" s="682"/>
      <c r="HU207" s="682"/>
      <c r="HV207" s="682"/>
      <c r="HW207" s="682"/>
      <c r="HX207" s="682"/>
      <c r="HY207" s="682"/>
      <c r="HZ207" s="682"/>
      <c r="IA207" s="682"/>
      <c r="IB207" s="682"/>
      <c r="IC207" s="682"/>
      <c r="ID207" s="682"/>
      <c r="IE207" s="682"/>
      <c r="IF207" s="682"/>
      <c r="IG207" s="682"/>
      <c r="IH207" s="682"/>
      <c r="II207" s="682"/>
      <c r="IJ207" s="682"/>
      <c r="IK207" s="682"/>
      <c r="IL207" s="682"/>
      <c r="IM207" s="682"/>
      <c r="IN207" s="682"/>
      <c r="IO207" s="682"/>
      <c r="IP207" s="682"/>
      <c r="IQ207" s="682"/>
      <c r="IR207" s="682"/>
      <c r="IS207" s="682"/>
      <c r="IT207" s="682"/>
      <c r="IU207" s="682"/>
      <c r="IV207" s="682"/>
    </row>
    <row r="208" spans="1:256" s="1036" customFormat="1" ht="16.5" customHeight="1" x14ac:dyDescent="0.2">
      <c r="A208" s="682"/>
      <c r="B208" s="1018"/>
      <c r="C208" s="1018"/>
      <c r="D208" s="1017"/>
      <c r="E208" s="1017"/>
      <c r="F208" s="1018"/>
      <c r="H208" s="682"/>
      <c r="I208" s="682"/>
      <c r="J208" s="682"/>
      <c r="K208" s="682"/>
      <c r="L208" s="682"/>
      <c r="M208" s="682"/>
      <c r="N208" s="682"/>
      <c r="O208" s="682"/>
      <c r="P208" s="682"/>
      <c r="Q208" s="682"/>
      <c r="R208" s="682"/>
      <c r="S208" s="682"/>
      <c r="T208" s="682"/>
      <c r="U208" s="682"/>
      <c r="V208" s="682"/>
      <c r="W208" s="682"/>
      <c r="X208" s="682"/>
      <c r="Y208" s="682"/>
      <c r="Z208" s="682"/>
      <c r="AA208" s="682"/>
      <c r="AB208" s="682"/>
      <c r="AC208" s="682"/>
      <c r="AD208" s="682"/>
      <c r="AE208" s="682"/>
      <c r="AF208" s="682"/>
      <c r="AG208" s="682"/>
      <c r="AH208" s="682"/>
      <c r="AI208" s="682"/>
      <c r="AJ208" s="682"/>
      <c r="AK208" s="682"/>
      <c r="AL208" s="682"/>
      <c r="AM208" s="682"/>
      <c r="AN208" s="682"/>
      <c r="AO208" s="682"/>
      <c r="AP208" s="682"/>
      <c r="AQ208" s="682"/>
      <c r="AR208" s="682"/>
      <c r="AS208" s="682"/>
      <c r="AT208" s="682"/>
      <c r="AU208" s="682"/>
      <c r="AV208" s="682"/>
      <c r="AW208" s="682"/>
      <c r="AX208" s="682"/>
      <c r="AY208" s="682"/>
      <c r="AZ208" s="682"/>
      <c r="BA208" s="682"/>
      <c r="BB208" s="682"/>
      <c r="BC208" s="682"/>
      <c r="BD208" s="682"/>
      <c r="BE208" s="682"/>
      <c r="BF208" s="682"/>
      <c r="BG208" s="682"/>
      <c r="BH208" s="682"/>
      <c r="BI208" s="682"/>
      <c r="BJ208" s="682"/>
      <c r="BK208" s="682"/>
      <c r="BL208" s="682"/>
      <c r="BM208" s="682"/>
      <c r="BN208" s="682"/>
      <c r="BO208" s="682"/>
      <c r="BP208" s="682"/>
      <c r="BQ208" s="682"/>
      <c r="BR208" s="682"/>
      <c r="BS208" s="682"/>
      <c r="BT208" s="682"/>
      <c r="BU208" s="682"/>
      <c r="BV208" s="682"/>
      <c r="BW208" s="682"/>
      <c r="BX208" s="682"/>
      <c r="BY208" s="682"/>
      <c r="BZ208" s="682"/>
      <c r="CA208" s="682"/>
      <c r="CB208" s="682"/>
      <c r="CC208" s="682"/>
      <c r="CD208" s="682"/>
      <c r="CE208" s="682"/>
      <c r="CF208" s="682"/>
      <c r="CG208" s="682"/>
      <c r="CH208" s="682"/>
      <c r="CI208" s="682"/>
      <c r="CJ208" s="682"/>
      <c r="CK208" s="682"/>
      <c r="CL208" s="682"/>
      <c r="CM208" s="682"/>
      <c r="CN208" s="682"/>
      <c r="CO208" s="682"/>
      <c r="CP208" s="682"/>
      <c r="CQ208" s="682"/>
      <c r="CR208" s="682"/>
      <c r="CS208" s="682"/>
      <c r="CT208" s="682"/>
      <c r="CU208" s="682"/>
      <c r="CV208" s="682"/>
      <c r="CW208" s="682"/>
      <c r="CX208" s="682"/>
      <c r="CY208" s="682"/>
      <c r="CZ208" s="682"/>
      <c r="DA208" s="682"/>
      <c r="DB208" s="682"/>
      <c r="DC208" s="682"/>
      <c r="DD208" s="682"/>
      <c r="DE208" s="682"/>
      <c r="DF208" s="682"/>
      <c r="DG208" s="682"/>
      <c r="DH208" s="682"/>
      <c r="DI208" s="682"/>
      <c r="DJ208" s="682"/>
      <c r="DK208" s="682"/>
      <c r="DL208" s="682"/>
      <c r="DM208" s="682"/>
      <c r="DN208" s="682"/>
      <c r="DO208" s="682"/>
      <c r="DP208" s="682"/>
      <c r="DQ208" s="682"/>
      <c r="DR208" s="682"/>
      <c r="DS208" s="682"/>
      <c r="DT208" s="682"/>
      <c r="DU208" s="682"/>
      <c r="DV208" s="682"/>
      <c r="DW208" s="682"/>
      <c r="DX208" s="682"/>
      <c r="DY208" s="682"/>
      <c r="DZ208" s="682"/>
      <c r="EA208" s="682"/>
      <c r="EB208" s="682"/>
      <c r="EC208" s="682"/>
      <c r="ED208" s="682"/>
      <c r="EE208" s="682"/>
      <c r="EF208" s="682"/>
      <c r="EG208" s="682"/>
      <c r="EH208" s="682"/>
      <c r="EI208" s="682"/>
      <c r="EJ208" s="682"/>
      <c r="EK208" s="682"/>
      <c r="EL208" s="682"/>
      <c r="EM208" s="682"/>
      <c r="EN208" s="682"/>
      <c r="EO208" s="682"/>
      <c r="EP208" s="682"/>
      <c r="EQ208" s="682"/>
      <c r="ER208" s="682"/>
      <c r="ES208" s="682"/>
      <c r="ET208" s="682"/>
      <c r="EU208" s="682"/>
      <c r="EV208" s="682"/>
      <c r="EW208" s="682"/>
      <c r="EX208" s="682"/>
      <c r="EY208" s="682"/>
      <c r="EZ208" s="682"/>
      <c r="FA208" s="682"/>
      <c r="FB208" s="682"/>
      <c r="FC208" s="682"/>
      <c r="FD208" s="682"/>
      <c r="FE208" s="682"/>
      <c r="FF208" s="682"/>
      <c r="FG208" s="682"/>
      <c r="FH208" s="682"/>
      <c r="FI208" s="682"/>
      <c r="FJ208" s="682"/>
      <c r="FK208" s="682"/>
      <c r="FL208" s="682"/>
      <c r="FM208" s="682"/>
      <c r="FN208" s="682"/>
      <c r="FO208" s="682"/>
      <c r="FP208" s="682"/>
      <c r="FQ208" s="682"/>
      <c r="FR208" s="682"/>
      <c r="FS208" s="682"/>
      <c r="FT208" s="682"/>
      <c r="FU208" s="682"/>
      <c r="FV208" s="682"/>
      <c r="FW208" s="682"/>
      <c r="FX208" s="682"/>
      <c r="FY208" s="682"/>
      <c r="FZ208" s="682"/>
      <c r="GA208" s="682"/>
      <c r="GB208" s="682"/>
      <c r="GC208" s="682"/>
      <c r="GD208" s="682"/>
      <c r="GE208" s="682"/>
      <c r="GF208" s="682"/>
      <c r="GG208" s="682"/>
      <c r="GH208" s="682"/>
      <c r="GI208" s="682"/>
      <c r="GJ208" s="682"/>
      <c r="GK208" s="682"/>
      <c r="GL208" s="682"/>
      <c r="GM208" s="682"/>
      <c r="GN208" s="682"/>
      <c r="GO208" s="682"/>
      <c r="GP208" s="682"/>
      <c r="GQ208" s="682"/>
      <c r="GR208" s="682"/>
      <c r="GS208" s="682"/>
      <c r="GT208" s="682"/>
      <c r="GU208" s="682"/>
      <c r="GV208" s="682"/>
      <c r="GW208" s="682"/>
      <c r="GX208" s="682"/>
      <c r="GY208" s="682"/>
      <c r="GZ208" s="682"/>
      <c r="HA208" s="682"/>
      <c r="HB208" s="682"/>
      <c r="HC208" s="682"/>
      <c r="HD208" s="682"/>
      <c r="HE208" s="682"/>
      <c r="HF208" s="682"/>
      <c r="HG208" s="682"/>
      <c r="HH208" s="682"/>
      <c r="HI208" s="682"/>
      <c r="HJ208" s="682"/>
      <c r="HK208" s="682"/>
      <c r="HL208" s="682"/>
      <c r="HM208" s="682"/>
      <c r="HN208" s="682"/>
      <c r="HO208" s="682"/>
      <c r="HP208" s="682"/>
      <c r="HQ208" s="682"/>
      <c r="HR208" s="682"/>
      <c r="HS208" s="682"/>
      <c r="HT208" s="682"/>
      <c r="HU208" s="682"/>
      <c r="HV208" s="682"/>
      <c r="HW208" s="682"/>
      <c r="HX208" s="682"/>
      <c r="HY208" s="682"/>
      <c r="HZ208" s="682"/>
      <c r="IA208" s="682"/>
      <c r="IB208" s="682"/>
      <c r="IC208" s="682"/>
      <c r="ID208" s="682"/>
      <c r="IE208" s="682"/>
      <c r="IF208" s="682"/>
      <c r="IG208" s="682"/>
      <c r="IH208" s="682"/>
      <c r="II208" s="682"/>
      <c r="IJ208" s="682"/>
      <c r="IK208" s="682"/>
      <c r="IL208" s="682"/>
      <c r="IM208" s="682"/>
      <c r="IN208" s="682"/>
      <c r="IO208" s="682"/>
      <c r="IP208" s="682"/>
      <c r="IQ208" s="682"/>
      <c r="IR208" s="682"/>
      <c r="IS208" s="682"/>
      <c r="IT208" s="682"/>
      <c r="IU208" s="682"/>
      <c r="IV208" s="682"/>
    </row>
    <row r="209" spans="1:256" s="1036" customFormat="1" ht="16.5" customHeight="1" x14ac:dyDescent="0.2">
      <c r="A209" s="682"/>
      <c r="B209" s="1018"/>
      <c r="C209" s="1018"/>
      <c r="D209" s="1017"/>
      <c r="E209" s="1017"/>
      <c r="F209" s="1018"/>
      <c r="H209" s="682"/>
      <c r="I209" s="682"/>
      <c r="J209" s="682"/>
      <c r="K209" s="682"/>
      <c r="L209" s="682"/>
      <c r="M209" s="682"/>
      <c r="N209" s="682"/>
      <c r="O209" s="682"/>
      <c r="P209" s="682"/>
      <c r="Q209" s="682"/>
      <c r="R209" s="682"/>
      <c r="S209" s="682"/>
      <c r="T209" s="682"/>
      <c r="U209" s="682"/>
      <c r="V209" s="682"/>
      <c r="W209" s="682"/>
      <c r="X209" s="682"/>
      <c r="Y209" s="682"/>
      <c r="Z209" s="682"/>
      <c r="AA209" s="682"/>
      <c r="AB209" s="682"/>
      <c r="AC209" s="682"/>
      <c r="AD209" s="682"/>
      <c r="AE209" s="682"/>
      <c r="AF209" s="682"/>
      <c r="AG209" s="682"/>
      <c r="AH209" s="682"/>
      <c r="AI209" s="682"/>
      <c r="AJ209" s="682"/>
      <c r="AK209" s="682"/>
      <c r="AL209" s="682"/>
      <c r="AM209" s="682"/>
      <c r="AN209" s="682"/>
      <c r="AO209" s="682"/>
      <c r="AP209" s="682"/>
      <c r="AQ209" s="682"/>
      <c r="AR209" s="682"/>
      <c r="AS209" s="682"/>
      <c r="AT209" s="682"/>
      <c r="AU209" s="682"/>
      <c r="AV209" s="682"/>
      <c r="AW209" s="682"/>
      <c r="AX209" s="682"/>
      <c r="AY209" s="682"/>
      <c r="AZ209" s="682"/>
      <c r="BA209" s="682"/>
      <c r="BB209" s="682"/>
      <c r="BC209" s="682"/>
      <c r="BD209" s="682"/>
      <c r="BE209" s="682"/>
      <c r="BF209" s="682"/>
      <c r="BG209" s="682"/>
      <c r="BH209" s="682"/>
      <c r="BI209" s="682"/>
      <c r="BJ209" s="682"/>
      <c r="BK209" s="682"/>
      <c r="BL209" s="682"/>
      <c r="BM209" s="682"/>
      <c r="BN209" s="682"/>
      <c r="BO209" s="682"/>
      <c r="BP209" s="682"/>
      <c r="BQ209" s="682"/>
      <c r="BR209" s="682"/>
      <c r="BS209" s="682"/>
      <c r="BT209" s="682"/>
      <c r="BU209" s="682"/>
      <c r="BV209" s="682"/>
      <c r="BW209" s="682"/>
      <c r="BX209" s="682"/>
      <c r="BY209" s="682"/>
      <c r="BZ209" s="682"/>
      <c r="CA209" s="682"/>
      <c r="CB209" s="682"/>
      <c r="CC209" s="682"/>
      <c r="CD209" s="682"/>
      <c r="CE209" s="682"/>
      <c r="CF209" s="682"/>
      <c r="CG209" s="682"/>
      <c r="CH209" s="682"/>
      <c r="CI209" s="682"/>
      <c r="CJ209" s="682"/>
      <c r="CK209" s="682"/>
      <c r="CL209" s="682"/>
      <c r="CM209" s="682"/>
      <c r="CN209" s="682"/>
      <c r="CO209" s="682"/>
      <c r="CP209" s="682"/>
      <c r="CQ209" s="682"/>
      <c r="CR209" s="682"/>
      <c r="CS209" s="682"/>
      <c r="CT209" s="682"/>
      <c r="CU209" s="682"/>
      <c r="CV209" s="682"/>
      <c r="CW209" s="682"/>
      <c r="CX209" s="682"/>
      <c r="CY209" s="682"/>
      <c r="CZ209" s="682"/>
      <c r="DA209" s="682"/>
      <c r="DB209" s="682"/>
      <c r="DC209" s="682"/>
      <c r="DD209" s="682"/>
      <c r="DE209" s="682"/>
      <c r="DF209" s="682"/>
      <c r="DG209" s="682"/>
      <c r="DH209" s="682"/>
      <c r="DI209" s="682"/>
      <c r="DJ209" s="682"/>
      <c r="DK209" s="682"/>
      <c r="DL209" s="682"/>
      <c r="DM209" s="682"/>
      <c r="DN209" s="682"/>
      <c r="DO209" s="682"/>
      <c r="DP209" s="682"/>
      <c r="DQ209" s="682"/>
      <c r="DR209" s="682"/>
      <c r="DS209" s="682"/>
      <c r="DT209" s="682"/>
      <c r="DU209" s="682"/>
      <c r="DV209" s="682"/>
      <c r="DW209" s="682"/>
      <c r="DX209" s="682"/>
      <c r="DY209" s="682"/>
      <c r="DZ209" s="682"/>
      <c r="EA209" s="682"/>
      <c r="EB209" s="682"/>
      <c r="EC209" s="682"/>
      <c r="ED209" s="682"/>
      <c r="EE209" s="682"/>
      <c r="EF209" s="682"/>
      <c r="EG209" s="682"/>
      <c r="EH209" s="682"/>
      <c r="EI209" s="682"/>
      <c r="EJ209" s="682"/>
      <c r="EK209" s="682"/>
      <c r="EL209" s="682"/>
      <c r="EM209" s="682"/>
      <c r="EN209" s="682"/>
      <c r="EO209" s="682"/>
      <c r="EP209" s="682"/>
      <c r="EQ209" s="682"/>
      <c r="ER209" s="682"/>
      <c r="ES209" s="682"/>
      <c r="ET209" s="682"/>
      <c r="EU209" s="682"/>
      <c r="EV209" s="682"/>
      <c r="EW209" s="682"/>
      <c r="EX209" s="682"/>
      <c r="EY209" s="682"/>
      <c r="EZ209" s="682"/>
      <c r="FA209" s="682"/>
      <c r="FB209" s="682"/>
      <c r="FC209" s="682"/>
      <c r="FD209" s="682"/>
      <c r="FE209" s="682"/>
      <c r="FF209" s="682"/>
      <c r="FG209" s="682"/>
      <c r="FH209" s="682"/>
      <c r="FI209" s="682"/>
      <c r="FJ209" s="682"/>
      <c r="FK209" s="682"/>
      <c r="FL209" s="682"/>
      <c r="FM209" s="682"/>
      <c r="FN209" s="682"/>
      <c r="FO209" s="682"/>
      <c r="FP209" s="682"/>
      <c r="FQ209" s="682"/>
      <c r="FR209" s="682"/>
      <c r="FS209" s="682"/>
      <c r="FT209" s="682"/>
      <c r="FU209" s="682"/>
      <c r="FV209" s="682"/>
      <c r="FW209" s="682"/>
      <c r="FX209" s="682"/>
      <c r="FY209" s="682"/>
      <c r="FZ209" s="682"/>
      <c r="GA209" s="682"/>
      <c r="GB209" s="682"/>
      <c r="GC209" s="682"/>
      <c r="GD209" s="682"/>
      <c r="GE209" s="682"/>
      <c r="GF209" s="682"/>
      <c r="GG209" s="682"/>
      <c r="GH209" s="682"/>
      <c r="GI209" s="682"/>
      <c r="GJ209" s="682"/>
      <c r="GK209" s="682"/>
      <c r="GL209" s="682"/>
      <c r="GM209" s="682"/>
      <c r="GN209" s="682"/>
      <c r="GO209" s="682"/>
      <c r="GP209" s="682"/>
      <c r="GQ209" s="682"/>
      <c r="GR209" s="682"/>
      <c r="GS209" s="682"/>
      <c r="GT209" s="682"/>
      <c r="GU209" s="682"/>
      <c r="GV209" s="682"/>
      <c r="GW209" s="682"/>
      <c r="GX209" s="682"/>
      <c r="GY209" s="682"/>
      <c r="GZ209" s="682"/>
      <c r="HA209" s="682"/>
      <c r="HB209" s="682"/>
      <c r="HC209" s="682"/>
      <c r="HD209" s="682"/>
      <c r="HE209" s="682"/>
      <c r="HF209" s="682"/>
      <c r="HG209" s="682"/>
      <c r="HH209" s="682"/>
      <c r="HI209" s="682"/>
      <c r="HJ209" s="682"/>
      <c r="HK209" s="682"/>
      <c r="HL209" s="682"/>
      <c r="HM209" s="682"/>
      <c r="HN209" s="682"/>
      <c r="HO209" s="682"/>
      <c r="HP209" s="682"/>
      <c r="HQ209" s="682"/>
      <c r="HR209" s="682"/>
      <c r="HS209" s="682"/>
      <c r="HT209" s="682"/>
      <c r="HU209" s="682"/>
      <c r="HV209" s="682"/>
      <c r="HW209" s="682"/>
      <c r="HX209" s="682"/>
      <c r="HY209" s="682"/>
      <c r="HZ209" s="682"/>
      <c r="IA209" s="682"/>
      <c r="IB209" s="682"/>
      <c r="IC209" s="682"/>
      <c r="ID209" s="682"/>
      <c r="IE209" s="682"/>
      <c r="IF209" s="682"/>
      <c r="IG209" s="682"/>
      <c r="IH209" s="682"/>
      <c r="II209" s="682"/>
      <c r="IJ209" s="682"/>
      <c r="IK209" s="682"/>
      <c r="IL209" s="682"/>
      <c r="IM209" s="682"/>
      <c r="IN209" s="682"/>
      <c r="IO209" s="682"/>
      <c r="IP209" s="682"/>
      <c r="IQ209" s="682"/>
      <c r="IR209" s="682"/>
      <c r="IS209" s="682"/>
      <c r="IT209" s="682"/>
      <c r="IU209" s="682"/>
      <c r="IV209" s="682"/>
    </row>
    <row r="210" spans="1:256" s="87" customFormat="1" ht="16.899999999999999" customHeight="1" x14ac:dyDescent="0.2">
      <c r="A210" s="1038" t="s">
        <v>1042</v>
      </c>
      <c r="B210" s="791"/>
      <c r="C210" s="791"/>
      <c r="D210" s="1019"/>
      <c r="E210" s="1019"/>
      <c r="F210" s="682"/>
      <c r="G210" s="682"/>
      <c r="H210" s="781"/>
      <c r="I210" s="1024"/>
      <c r="J210" s="1024"/>
      <c r="K210" s="1025"/>
      <c r="L210" s="1025"/>
      <c r="M210" s="1025"/>
      <c r="N210" s="1025"/>
      <c r="O210" s="682"/>
      <c r="P210" s="682"/>
      <c r="Q210" s="682"/>
      <c r="R210" s="682"/>
      <c r="S210" s="682"/>
      <c r="T210" s="682"/>
      <c r="U210" s="682"/>
      <c r="V210" s="682"/>
      <c r="W210" s="682"/>
      <c r="X210" s="682"/>
      <c r="Y210" s="682"/>
      <c r="Z210" s="682"/>
    </row>
    <row r="211" spans="1:256" s="87" customFormat="1" ht="16.899999999999999" customHeight="1" x14ac:dyDescent="0.2">
      <c r="A211" s="1010" t="s">
        <v>1031</v>
      </c>
      <c r="B211" s="1009"/>
      <c r="C211" s="1009"/>
      <c r="D211" s="1009"/>
      <c r="E211" s="1009"/>
      <c r="F211" s="1016" t="s">
        <v>790</v>
      </c>
      <c r="G211" s="1016" t="s">
        <v>935</v>
      </c>
      <c r="H211" s="781"/>
      <c r="I211" s="1024"/>
      <c r="J211" s="1024"/>
      <c r="K211" s="1025"/>
      <c r="L211" s="1025"/>
      <c r="M211" s="1025"/>
      <c r="N211" s="1025"/>
      <c r="O211" s="682"/>
      <c r="P211" s="682"/>
      <c r="Q211" s="682"/>
      <c r="R211" s="682"/>
      <c r="S211" s="682"/>
      <c r="T211" s="682"/>
      <c r="U211" s="682"/>
      <c r="V211" s="682"/>
      <c r="W211" s="682"/>
      <c r="X211" s="682"/>
      <c r="Y211" s="682"/>
      <c r="Z211" s="682"/>
    </row>
    <row r="212" spans="1:256" s="87" customFormat="1" ht="42" customHeight="1" x14ac:dyDescent="0.2">
      <c r="A212" s="1282" t="s">
        <v>1069</v>
      </c>
      <c r="B212" s="1283"/>
      <c r="C212" s="1283"/>
      <c r="D212" s="1283"/>
      <c r="E212" s="1011"/>
      <c r="F212" s="1041"/>
      <c r="G212" s="1071"/>
      <c r="H212" s="781"/>
      <c r="I212" s="1024"/>
      <c r="J212" s="1024"/>
      <c r="K212" s="1025"/>
      <c r="L212" s="1025"/>
      <c r="M212" s="1025"/>
      <c r="N212" s="1025"/>
      <c r="O212" s="682"/>
      <c r="P212" s="682"/>
      <c r="Q212" s="682"/>
      <c r="R212" s="682"/>
      <c r="S212" s="682"/>
      <c r="T212" s="682"/>
      <c r="U212" s="682"/>
      <c r="V212" s="682"/>
      <c r="W212" s="682"/>
      <c r="X212" s="682"/>
      <c r="Y212" s="682"/>
      <c r="Z212" s="682"/>
    </row>
    <row r="213" spans="1:256" s="88" customFormat="1" ht="16.5" customHeight="1" x14ac:dyDescent="0.2">
      <c r="A213" s="148" t="s">
        <v>1036</v>
      </c>
      <c r="B213" s="1070"/>
      <c r="C213" s="1070"/>
      <c r="D213" s="1070"/>
      <c r="E213" s="1070"/>
      <c r="F213" s="39">
        <v>20</v>
      </c>
      <c r="G213" s="1051">
        <v>17</v>
      </c>
      <c r="H213" s="768"/>
      <c r="I213" s="1026"/>
      <c r="J213" s="1026"/>
      <c r="K213" s="1027"/>
      <c r="L213" s="1027"/>
      <c r="M213" s="1027"/>
      <c r="N213" s="1027"/>
      <c r="O213" s="685"/>
      <c r="P213" s="685"/>
      <c r="Q213" s="685"/>
      <c r="R213" s="685"/>
      <c r="S213" s="685"/>
      <c r="T213" s="685"/>
      <c r="U213" s="685"/>
      <c r="V213" s="685"/>
      <c r="W213" s="685"/>
      <c r="X213" s="685"/>
      <c r="Y213" s="685"/>
      <c r="Z213" s="685"/>
    </row>
    <row r="214" spans="1:256" s="87" customFormat="1" ht="16.5" customHeight="1" x14ac:dyDescent="0.2">
      <c r="A214" s="138" t="s">
        <v>1037</v>
      </c>
      <c r="B214" s="1075"/>
      <c r="C214" s="1075"/>
      <c r="D214" s="1075"/>
      <c r="E214" s="1075"/>
      <c r="F214" s="31">
        <v>20</v>
      </c>
      <c r="G214" s="1013">
        <v>16</v>
      </c>
      <c r="H214" s="781"/>
      <c r="I214" s="1024"/>
      <c r="J214" s="1024"/>
      <c r="K214" s="1025"/>
      <c r="L214" s="1025"/>
      <c r="M214" s="1025"/>
      <c r="N214" s="1025"/>
      <c r="O214" s="682"/>
      <c r="P214" s="682"/>
      <c r="Q214" s="682"/>
      <c r="R214" s="682"/>
      <c r="S214" s="682"/>
      <c r="T214" s="682"/>
      <c r="U214" s="682"/>
      <c r="V214" s="682"/>
      <c r="W214" s="682"/>
      <c r="X214" s="682"/>
      <c r="Y214" s="682"/>
      <c r="Z214" s="682"/>
    </row>
    <row r="215" spans="1:256" s="87" customFormat="1" ht="16.5" customHeight="1" x14ac:dyDescent="0.2">
      <c r="A215" s="138" t="s">
        <v>1038</v>
      </c>
      <c r="B215" s="1075"/>
      <c r="C215" s="1075"/>
      <c r="D215" s="1075"/>
      <c r="E215" s="1075"/>
      <c r="F215" s="31">
        <v>20</v>
      </c>
      <c r="G215" s="1013">
        <v>19</v>
      </c>
      <c r="H215" s="781"/>
      <c r="I215" s="1024"/>
      <c r="J215" s="1024"/>
      <c r="K215" s="1025"/>
      <c r="L215" s="1025"/>
      <c r="M215" s="1025"/>
      <c r="N215" s="1025"/>
      <c r="O215" s="682"/>
      <c r="P215" s="682"/>
      <c r="Q215" s="682"/>
      <c r="R215" s="682"/>
      <c r="S215" s="682"/>
      <c r="T215" s="682"/>
      <c r="U215" s="682"/>
      <c r="V215" s="682"/>
      <c r="W215" s="682"/>
      <c r="X215" s="682"/>
      <c r="Y215" s="682"/>
      <c r="Z215" s="682"/>
    </row>
    <row r="216" spans="1:256" s="87" customFormat="1" ht="16.5" customHeight="1" x14ac:dyDescent="0.2">
      <c r="A216" s="138" t="s">
        <v>1039</v>
      </c>
      <c r="B216" s="1075"/>
      <c r="C216" s="1075"/>
      <c r="D216" s="1075"/>
      <c r="E216" s="1075"/>
      <c r="F216" s="31">
        <v>20</v>
      </c>
      <c r="G216" s="1013">
        <v>20</v>
      </c>
      <c r="H216" s="781"/>
      <c r="I216" s="1024"/>
      <c r="J216" s="1024"/>
      <c r="K216" s="1025"/>
      <c r="L216" s="1025"/>
      <c r="M216" s="1025"/>
      <c r="N216" s="1025"/>
      <c r="O216" s="682"/>
      <c r="P216" s="682"/>
      <c r="Q216" s="682"/>
      <c r="R216" s="682"/>
      <c r="S216" s="682"/>
      <c r="T216" s="682"/>
      <c r="U216" s="682"/>
      <c r="V216" s="682"/>
      <c r="W216" s="682"/>
      <c r="X216" s="682"/>
      <c r="Y216" s="682"/>
      <c r="Z216" s="682"/>
    </row>
    <row r="217" spans="1:256" ht="16.5" customHeight="1" x14ac:dyDescent="0.2">
      <c r="A217" s="756" t="s">
        <v>1040</v>
      </c>
      <c r="B217" s="1074"/>
      <c r="C217" s="1074"/>
      <c r="D217" s="1074"/>
      <c r="E217" s="1074"/>
      <c r="F217" s="36">
        <v>20</v>
      </c>
      <c r="G217" s="1079">
        <v>17</v>
      </c>
      <c r="H217" s="768"/>
      <c r="I217" s="1072"/>
      <c r="J217" s="1072"/>
      <c r="K217" s="1073"/>
      <c r="L217" s="1073"/>
      <c r="M217" s="1073"/>
      <c r="N217" s="1073"/>
    </row>
    <row r="218" spans="1:256" s="198" customFormat="1" ht="16.899999999999999" customHeight="1" thickBot="1" x14ac:dyDescent="0.25">
      <c r="A218" s="169" t="s">
        <v>936</v>
      </c>
      <c r="B218" s="1020"/>
      <c r="C218" s="1020"/>
      <c r="D218" s="1020"/>
      <c r="E218" s="1020"/>
      <c r="F218" s="37">
        <f>SUM(F213:F217)</f>
        <v>100</v>
      </c>
      <c r="G218" s="1080">
        <f>SUM(G213:G217)</f>
        <v>89</v>
      </c>
      <c r="H218" s="727"/>
      <c r="I218" s="1028"/>
      <c r="J218" s="1028"/>
      <c r="K218" s="1029"/>
      <c r="L218" s="1029"/>
      <c r="M218" s="1029"/>
      <c r="N218" s="1029"/>
      <c r="O218" s="687"/>
      <c r="P218" s="687"/>
      <c r="Q218" s="687"/>
      <c r="R218" s="687"/>
      <c r="S218" s="687"/>
      <c r="T218" s="687"/>
      <c r="U218" s="687"/>
      <c r="V218" s="687"/>
      <c r="W218" s="687"/>
      <c r="X218" s="687"/>
      <c r="Y218" s="687"/>
      <c r="Z218" s="687"/>
    </row>
    <row r="219" spans="1:256" s="1036" customFormat="1" ht="16.5" customHeight="1" x14ac:dyDescent="0.2">
      <c r="H219" s="682"/>
      <c r="I219" s="682"/>
      <c r="J219" s="682"/>
      <c r="K219" s="682"/>
      <c r="L219" s="682"/>
      <c r="M219" s="682"/>
      <c r="N219" s="682"/>
      <c r="O219" s="682"/>
      <c r="P219" s="682"/>
      <c r="Q219" s="682"/>
      <c r="R219" s="682"/>
      <c r="S219" s="682"/>
      <c r="T219" s="682"/>
      <c r="U219" s="682"/>
      <c r="V219" s="682"/>
      <c r="W219" s="682"/>
      <c r="X219" s="682"/>
      <c r="Y219" s="682"/>
      <c r="Z219" s="682"/>
      <c r="AA219" s="682"/>
      <c r="AB219" s="682"/>
      <c r="AC219" s="682"/>
      <c r="AD219" s="682"/>
      <c r="AE219" s="682"/>
      <c r="AF219" s="682"/>
      <c r="AG219" s="682"/>
      <c r="AH219" s="682"/>
      <c r="AI219" s="682"/>
      <c r="AJ219" s="682"/>
      <c r="AK219" s="682"/>
      <c r="AL219" s="682"/>
      <c r="AM219" s="682"/>
      <c r="AN219" s="682"/>
      <c r="AO219" s="682"/>
      <c r="AP219" s="682"/>
      <c r="AQ219" s="682"/>
      <c r="AR219" s="682"/>
      <c r="AS219" s="682"/>
      <c r="AT219" s="682"/>
      <c r="AU219" s="682"/>
      <c r="AV219" s="682"/>
      <c r="AW219" s="682"/>
      <c r="AX219" s="682"/>
      <c r="AY219" s="682"/>
      <c r="AZ219" s="682"/>
      <c r="BA219" s="682"/>
      <c r="BB219" s="682"/>
      <c r="BC219" s="682"/>
      <c r="BD219" s="682"/>
      <c r="BE219" s="682"/>
      <c r="BF219" s="682"/>
      <c r="BG219" s="682"/>
      <c r="BH219" s="682"/>
      <c r="BI219" s="682"/>
      <c r="BJ219" s="682"/>
      <c r="BK219" s="682"/>
      <c r="BL219" s="682"/>
      <c r="BM219" s="682"/>
      <c r="BN219" s="682"/>
      <c r="BO219" s="682"/>
      <c r="BP219" s="682"/>
      <c r="BQ219" s="682"/>
      <c r="BR219" s="682"/>
      <c r="BS219" s="682"/>
      <c r="BT219" s="682"/>
      <c r="BU219" s="682"/>
      <c r="BV219" s="682"/>
      <c r="BW219" s="682"/>
      <c r="BX219" s="682"/>
      <c r="BY219" s="682"/>
      <c r="BZ219" s="682"/>
      <c r="CA219" s="682"/>
      <c r="CB219" s="682"/>
      <c r="CC219" s="682"/>
      <c r="CD219" s="682"/>
      <c r="CE219" s="682"/>
      <c r="CF219" s="682"/>
      <c r="CG219" s="682"/>
      <c r="CH219" s="682"/>
      <c r="CI219" s="682"/>
      <c r="CJ219" s="682"/>
      <c r="CK219" s="682"/>
      <c r="CL219" s="682"/>
      <c r="CM219" s="682"/>
      <c r="CN219" s="682"/>
      <c r="CO219" s="682"/>
      <c r="CP219" s="682"/>
      <c r="CQ219" s="682"/>
      <c r="CR219" s="682"/>
      <c r="CS219" s="682"/>
      <c r="CT219" s="682"/>
      <c r="CU219" s="682"/>
      <c r="CV219" s="682"/>
      <c r="CW219" s="682"/>
      <c r="CX219" s="682"/>
      <c r="CY219" s="682"/>
      <c r="CZ219" s="682"/>
      <c r="DA219" s="682"/>
      <c r="DB219" s="682"/>
      <c r="DC219" s="682"/>
      <c r="DD219" s="682"/>
      <c r="DE219" s="682"/>
      <c r="DF219" s="682"/>
      <c r="DG219" s="682"/>
      <c r="DH219" s="682"/>
      <c r="DI219" s="682"/>
      <c r="DJ219" s="682"/>
      <c r="DK219" s="682"/>
      <c r="DL219" s="682"/>
      <c r="DM219" s="682"/>
      <c r="DN219" s="682"/>
      <c r="DO219" s="682"/>
      <c r="DP219" s="682"/>
      <c r="DQ219" s="682"/>
      <c r="DR219" s="682"/>
      <c r="DS219" s="682"/>
      <c r="DT219" s="682"/>
      <c r="DU219" s="682"/>
      <c r="DV219" s="682"/>
      <c r="DW219" s="682"/>
      <c r="DX219" s="682"/>
      <c r="DY219" s="682"/>
      <c r="DZ219" s="682"/>
      <c r="EA219" s="682"/>
      <c r="EB219" s="682"/>
      <c r="EC219" s="682"/>
      <c r="ED219" s="682"/>
      <c r="EE219" s="682"/>
      <c r="EF219" s="682"/>
      <c r="EG219" s="682"/>
      <c r="EH219" s="682"/>
      <c r="EI219" s="682"/>
      <c r="EJ219" s="682"/>
      <c r="EK219" s="682"/>
      <c r="EL219" s="682"/>
      <c r="EM219" s="682"/>
      <c r="EN219" s="682"/>
      <c r="EO219" s="682"/>
      <c r="EP219" s="682"/>
      <c r="EQ219" s="682"/>
      <c r="ER219" s="682"/>
      <c r="ES219" s="682"/>
      <c r="ET219" s="682"/>
      <c r="EU219" s="682"/>
      <c r="EV219" s="682"/>
      <c r="EW219" s="682"/>
      <c r="EX219" s="682"/>
      <c r="EY219" s="682"/>
      <c r="EZ219" s="682"/>
      <c r="FA219" s="682"/>
      <c r="FB219" s="682"/>
      <c r="FC219" s="682"/>
      <c r="FD219" s="682"/>
      <c r="FE219" s="682"/>
      <c r="FF219" s="682"/>
      <c r="FG219" s="682"/>
      <c r="FH219" s="682"/>
      <c r="FI219" s="682"/>
      <c r="FJ219" s="682"/>
      <c r="FK219" s="682"/>
      <c r="FL219" s="682"/>
      <c r="FM219" s="682"/>
      <c r="FN219" s="682"/>
      <c r="FO219" s="682"/>
      <c r="FP219" s="682"/>
      <c r="FQ219" s="682"/>
      <c r="FR219" s="682"/>
      <c r="FS219" s="682"/>
      <c r="FT219" s="682"/>
      <c r="FU219" s="682"/>
      <c r="FV219" s="682"/>
      <c r="FW219" s="682"/>
      <c r="FX219" s="682"/>
      <c r="FY219" s="682"/>
      <c r="FZ219" s="682"/>
      <c r="GA219" s="682"/>
      <c r="GB219" s="682"/>
      <c r="GC219" s="682"/>
      <c r="GD219" s="682"/>
      <c r="GE219" s="682"/>
      <c r="GF219" s="682"/>
      <c r="GG219" s="682"/>
      <c r="GH219" s="682"/>
      <c r="GI219" s="682"/>
      <c r="GJ219" s="682"/>
      <c r="GK219" s="682"/>
      <c r="GL219" s="682"/>
      <c r="GM219" s="682"/>
      <c r="GN219" s="682"/>
      <c r="GO219" s="682"/>
      <c r="GP219" s="682"/>
      <c r="GQ219" s="682"/>
      <c r="GR219" s="682"/>
      <c r="GS219" s="682"/>
      <c r="GT219" s="682"/>
      <c r="GU219" s="682"/>
      <c r="GV219" s="682"/>
      <c r="GW219" s="682"/>
      <c r="GX219" s="682"/>
      <c r="GY219" s="682"/>
      <c r="GZ219" s="682"/>
      <c r="HA219" s="682"/>
      <c r="HB219" s="682"/>
      <c r="HC219" s="682"/>
      <c r="HD219" s="682"/>
      <c r="HE219" s="682"/>
      <c r="HF219" s="682"/>
      <c r="HG219" s="682"/>
      <c r="HH219" s="682"/>
      <c r="HI219" s="682"/>
      <c r="HJ219" s="682"/>
      <c r="HK219" s="682"/>
      <c r="HL219" s="682"/>
      <c r="HM219" s="682"/>
      <c r="HN219" s="682"/>
      <c r="HO219" s="682"/>
      <c r="HP219" s="682"/>
      <c r="HQ219" s="682"/>
      <c r="HR219" s="682"/>
      <c r="HS219" s="682"/>
      <c r="HT219" s="682"/>
      <c r="HU219" s="682"/>
      <c r="HV219" s="682"/>
      <c r="HW219" s="682"/>
      <c r="HX219" s="682"/>
      <c r="HY219" s="682"/>
      <c r="HZ219" s="682"/>
      <c r="IA219" s="682"/>
      <c r="IB219" s="682"/>
      <c r="IC219" s="682"/>
      <c r="ID219" s="682"/>
      <c r="IE219" s="682"/>
      <c r="IF219" s="682"/>
      <c r="IG219" s="682"/>
      <c r="IH219" s="682"/>
      <c r="II219" s="682"/>
      <c r="IJ219" s="682"/>
      <c r="IK219" s="682"/>
      <c r="IL219" s="682"/>
      <c r="IM219" s="682"/>
      <c r="IN219" s="682"/>
      <c r="IO219" s="682"/>
      <c r="IP219" s="682"/>
      <c r="IQ219" s="682"/>
      <c r="IR219" s="682"/>
      <c r="IS219" s="682"/>
      <c r="IT219" s="682"/>
      <c r="IU219" s="682"/>
      <c r="IV219" s="682"/>
    </row>
    <row r="220" spans="1:256" s="1036" customFormat="1" ht="16.5" customHeight="1" x14ac:dyDescent="0.2">
      <c r="H220" s="682"/>
      <c r="I220" s="682"/>
      <c r="J220" s="682"/>
      <c r="K220" s="682"/>
      <c r="L220" s="682"/>
      <c r="M220" s="682"/>
      <c r="N220" s="682"/>
      <c r="O220" s="682"/>
      <c r="P220" s="682"/>
      <c r="Q220" s="682"/>
      <c r="R220" s="682"/>
      <c r="S220" s="682"/>
      <c r="T220" s="682"/>
      <c r="U220" s="682"/>
      <c r="V220" s="682"/>
      <c r="W220" s="682"/>
      <c r="X220" s="682"/>
      <c r="Y220" s="682"/>
      <c r="Z220" s="682"/>
      <c r="AA220" s="682"/>
      <c r="AB220" s="682"/>
      <c r="AC220" s="682"/>
      <c r="AD220" s="682"/>
      <c r="AE220" s="682"/>
      <c r="AF220" s="682"/>
      <c r="AG220" s="682"/>
      <c r="AH220" s="682"/>
      <c r="AI220" s="682"/>
      <c r="AJ220" s="682"/>
      <c r="AK220" s="682"/>
      <c r="AL220" s="682"/>
      <c r="AM220" s="682"/>
      <c r="AN220" s="682"/>
      <c r="AO220" s="682"/>
      <c r="AP220" s="682"/>
      <c r="AQ220" s="682"/>
      <c r="AR220" s="682"/>
      <c r="AS220" s="682"/>
      <c r="AT220" s="682"/>
      <c r="AU220" s="682"/>
      <c r="AV220" s="682"/>
      <c r="AW220" s="682"/>
      <c r="AX220" s="682"/>
      <c r="AY220" s="682"/>
      <c r="AZ220" s="682"/>
      <c r="BA220" s="682"/>
      <c r="BB220" s="682"/>
      <c r="BC220" s="682"/>
      <c r="BD220" s="682"/>
      <c r="BE220" s="682"/>
      <c r="BF220" s="682"/>
      <c r="BG220" s="682"/>
      <c r="BH220" s="682"/>
      <c r="BI220" s="682"/>
      <c r="BJ220" s="682"/>
      <c r="BK220" s="682"/>
      <c r="BL220" s="682"/>
      <c r="BM220" s="682"/>
      <c r="BN220" s="682"/>
      <c r="BO220" s="682"/>
      <c r="BP220" s="682"/>
      <c r="BQ220" s="682"/>
      <c r="BR220" s="682"/>
      <c r="BS220" s="682"/>
      <c r="BT220" s="682"/>
      <c r="BU220" s="682"/>
      <c r="BV220" s="682"/>
      <c r="BW220" s="682"/>
      <c r="BX220" s="682"/>
      <c r="BY220" s="682"/>
      <c r="BZ220" s="682"/>
      <c r="CA220" s="682"/>
      <c r="CB220" s="682"/>
      <c r="CC220" s="682"/>
      <c r="CD220" s="682"/>
      <c r="CE220" s="682"/>
      <c r="CF220" s="682"/>
      <c r="CG220" s="682"/>
      <c r="CH220" s="682"/>
      <c r="CI220" s="682"/>
      <c r="CJ220" s="682"/>
      <c r="CK220" s="682"/>
      <c r="CL220" s="682"/>
      <c r="CM220" s="682"/>
      <c r="CN220" s="682"/>
      <c r="CO220" s="682"/>
      <c r="CP220" s="682"/>
      <c r="CQ220" s="682"/>
      <c r="CR220" s="682"/>
      <c r="CS220" s="682"/>
      <c r="CT220" s="682"/>
      <c r="CU220" s="682"/>
      <c r="CV220" s="682"/>
      <c r="CW220" s="682"/>
      <c r="CX220" s="682"/>
      <c r="CY220" s="682"/>
      <c r="CZ220" s="682"/>
      <c r="DA220" s="682"/>
      <c r="DB220" s="682"/>
      <c r="DC220" s="682"/>
      <c r="DD220" s="682"/>
      <c r="DE220" s="682"/>
      <c r="DF220" s="682"/>
      <c r="DG220" s="682"/>
      <c r="DH220" s="682"/>
      <c r="DI220" s="682"/>
      <c r="DJ220" s="682"/>
      <c r="DK220" s="682"/>
      <c r="DL220" s="682"/>
      <c r="DM220" s="682"/>
      <c r="DN220" s="682"/>
      <c r="DO220" s="682"/>
      <c r="DP220" s="682"/>
      <c r="DQ220" s="682"/>
      <c r="DR220" s="682"/>
      <c r="DS220" s="682"/>
      <c r="DT220" s="682"/>
      <c r="DU220" s="682"/>
      <c r="DV220" s="682"/>
      <c r="DW220" s="682"/>
      <c r="DX220" s="682"/>
      <c r="DY220" s="682"/>
      <c r="DZ220" s="682"/>
      <c r="EA220" s="682"/>
      <c r="EB220" s="682"/>
      <c r="EC220" s="682"/>
      <c r="ED220" s="682"/>
      <c r="EE220" s="682"/>
      <c r="EF220" s="682"/>
      <c r="EG220" s="682"/>
      <c r="EH220" s="682"/>
      <c r="EI220" s="682"/>
      <c r="EJ220" s="682"/>
      <c r="EK220" s="682"/>
      <c r="EL220" s="682"/>
      <c r="EM220" s="682"/>
      <c r="EN220" s="682"/>
      <c r="EO220" s="682"/>
      <c r="EP220" s="682"/>
      <c r="EQ220" s="682"/>
      <c r="ER220" s="682"/>
      <c r="ES220" s="682"/>
      <c r="ET220" s="682"/>
      <c r="EU220" s="682"/>
      <c r="EV220" s="682"/>
      <c r="EW220" s="682"/>
      <c r="EX220" s="682"/>
      <c r="EY220" s="682"/>
      <c r="EZ220" s="682"/>
      <c r="FA220" s="682"/>
      <c r="FB220" s="682"/>
      <c r="FC220" s="682"/>
      <c r="FD220" s="682"/>
      <c r="FE220" s="682"/>
      <c r="FF220" s="682"/>
      <c r="FG220" s="682"/>
      <c r="FH220" s="682"/>
      <c r="FI220" s="682"/>
      <c r="FJ220" s="682"/>
      <c r="FK220" s="682"/>
      <c r="FL220" s="682"/>
      <c r="FM220" s="682"/>
      <c r="FN220" s="682"/>
      <c r="FO220" s="682"/>
      <c r="FP220" s="682"/>
      <c r="FQ220" s="682"/>
      <c r="FR220" s="682"/>
      <c r="FS220" s="682"/>
      <c r="FT220" s="682"/>
      <c r="FU220" s="682"/>
      <c r="FV220" s="682"/>
      <c r="FW220" s="682"/>
      <c r="FX220" s="682"/>
      <c r="FY220" s="682"/>
      <c r="FZ220" s="682"/>
      <c r="GA220" s="682"/>
      <c r="GB220" s="682"/>
      <c r="GC220" s="682"/>
      <c r="GD220" s="682"/>
      <c r="GE220" s="682"/>
      <c r="GF220" s="682"/>
      <c r="GG220" s="682"/>
      <c r="GH220" s="682"/>
      <c r="GI220" s="682"/>
      <c r="GJ220" s="682"/>
      <c r="GK220" s="682"/>
      <c r="GL220" s="682"/>
      <c r="GM220" s="682"/>
      <c r="GN220" s="682"/>
      <c r="GO220" s="682"/>
      <c r="GP220" s="682"/>
      <c r="GQ220" s="682"/>
      <c r="GR220" s="682"/>
      <c r="GS220" s="682"/>
      <c r="GT220" s="682"/>
      <c r="GU220" s="682"/>
      <c r="GV220" s="682"/>
      <c r="GW220" s="682"/>
      <c r="GX220" s="682"/>
      <c r="GY220" s="682"/>
      <c r="GZ220" s="682"/>
      <c r="HA220" s="682"/>
      <c r="HB220" s="682"/>
      <c r="HC220" s="682"/>
      <c r="HD220" s="682"/>
      <c r="HE220" s="682"/>
      <c r="HF220" s="682"/>
      <c r="HG220" s="682"/>
      <c r="HH220" s="682"/>
      <c r="HI220" s="682"/>
      <c r="HJ220" s="682"/>
      <c r="HK220" s="682"/>
      <c r="HL220" s="682"/>
      <c r="HM220" s="682"/>
      <c r="HN220" s="682"/>
      <c r="HO220" s="682"/>
      <c r="HP220" s="682"/>
      <c r="HQ220" s="682"/>
      <c r="HR220" s="682"/>
      <c r="HS220" s="682"/>
      <c r="HT220" s="682"/>
      <c r="HU220" s="682"/>
      <c r="HV220" s="682"/>
      <c r="HW220" s="682"/>
      <c r="HX220" s="682"/>
      <c r="HY220" s="682"/>
      <c r="HZ220" s="682"/>
      <c r="IA220" s="682"/>
      <c r="IB220" s="682"/>
      <c r="IC220" s="682"/>
      <c r="ID220" s="682"/>
      <c r="IE220" s="682"/>
      <c r="IF220" s="682"/>
      <c r="IG220" s="682"/>
      <c r="IH220" s="682"/>
      <c r="II220" s="682"/>
      <c r="IJ220" s="682"/>
      <c r="IK220" s="682"/>
      <c r="IL220" s="682"/>
      <c r="IM220" s="682"/>
      <c r="IN220" s="682"/>
      <c r="IO220" s="682"/>
      <c r="IP220" s="682"/>
      <c r="IQ220" s="682"/>
      <c r="IR220" s="682"/>
      <c r="IS220" s="682"/>
      <c r="IT220" s="682"/>
      <c r="IU220" s="682"/>
      <c r="IV220" s="682"/>
    </row>
    <row r="221" spans="1:256" s="1036" customFormat="1" ht="16.5" customHeight="1" x14ac:dyDescent="0.2">
      <c r="H221" s="682"/>
      <c r="I221" s="682"/>
      <c r="J221" s="682"/>
      <c r="K221" s="682"/>
      <c r="L221" s="682"/>
      <c r="M221" s="682"/>
      <c r="N221" s="682"/>
      <c r="O221" s="682"/>
      <c r="P221" s="682"/>
      <c r="Q221" s="682"/>
      <c r="R221" s="682"/>
      <c r="S221" s="682"/>
      <c r="T221" s="682"/>
      <c r="U221" s="682"/>
      <c r="V221" s="682"/>
      <c r="W221" s="682"/>
      <c r="X221" s="682"/>
      <c r="Y221" s="682"/>
      <c r="Z221" s="682"/>
      <c r="AA221" s="682"/>
      <c r="AB221" s="682"/>
      <c r="AC221" s="682"/>
      <c r="AD221" s="682"/>
      <c r="AE221" s="682"/>
      <c r="AF221" s="682"/>
      <c r="AG221" s="682"/>
      <c r="AH221" s="682"/>
      <c r="AI221" s="682"/>
      <c r="AJ221" s="682"/>
      <c r="AK221" s="682"/>
      <c r="AL221" s="682"/>
      <c r="AM221" s="682"/>
      <c r="AN221" s="682"/>
      <c r="AO221" s="682"/>
      <c r="AP221" s="682"/>
      <c r="AQ221" s="682"/>
      <c r="AR221" s="682"/>
      <c r="AS221" s="682"/>
      <c r="AT221" s="682"/>
      <c r="AU221" s="682"/>
      <c r="AV221" s="682"/>
      <c r="AW221" s="682"/>
      <c r="AX221" s="682"/>
      <c r="AY221" s="682"/>
      <c r="AZ221" s="682"/>
      <c r="BA221" s="682"/>
      <c r="BB221" s="682"/>
      <c r="BC221" s="682"/>
      <c r="BD221" s="682"/>
      <c r="BE221" s="682"/>
      <c r="BF221" s="682"/>
      <c r="BG221" s="682"/>
      <c r="BH221" s="682"/>
      <c r="BI221" s="682"/>
      <c r="BJ221" s="682"/>
      <c r="BK221" s="682"/>
      <c r="BL221" s="682"/>
      <c r="BM221" s="682"/>
      <c r="BN221" s="682"/>
      <c r="BO221" s="682"/>
      <c r="BP221" s="682"/>
      <c r="BQ221" s="682"/>
      <c r="BR221" s="682"/>
      <c r="BS221" s="682"/>
      <c r="BT221" s="682"/>
      <c r="BU221" s="682"/>
      <c r="BV221" s="682"/>
      <c r="BW221" s="682"/>
      <c r="BX221" s="682"/>
      <c r="BY221" s="682"/>
      <c r="BZ221" s="682"/>
      <c r="CA221" s="682"/>
      <c r="CB221" s="682"/>
      <c r="CC221" s="682"/>
      <c r="CD221" s="682"/>
      <c r="CE221" s="682"/>
      <c r="CF221" s="682"/>
      <c r="CG221" s="682"/>
      <c r="CH221" s="682"/>
      <c r="CI221" s="682"/>
      <c r="CJ221" s="682"/>
      <c r="CK221" s="682"/>
      <c r="CL221" s="682"/>
      <c r="CM221" s="682"/>
      <c r="CN221" s="682"/>
      <c r="CO221" s="682"/>
      <c r="CP221" s="682"/>
      <c r="CQ221" s="682"/>
      <c r="CR221" s="682"/>
      <c r="CS221" s="682"/>
      <c r="CT221" s="682"/>
      <c r="CU221" s="682"/>
      <c r="CV221" s="682"/>
      <c r="CW221" s="682"/>
      <c r="CX221" s="682"/>
      <c r="CY221" s="682"/>
      <c r="CZ221" s="682"/>
      <c r="DA221" s="682"/>
      <c r="DB221" s="682"/>
      <c r="DC221" s="682"/>
      <c r="DD221" s="682"/>
      <c r="DE221" s="682"/>
      <c r="DF221" s="682"/>
      <c r="DG221" s="682"/>
      <c r="DH221" s="682"/>
      <c r="DI221" s="682"/>
      <c r="DJ221" s="682"/>
      <c r="DK221" s="682"/>
      <c r="DL221" s="682"/>
      <c r="DM221" s="682"/>
      <c r="DN221" s="682"/>
      <c r="DO221" s="682"/>
      <c r="DP221" s="682"/>
      <c r="DQ221" s="682"/>
      <c r="DR221" s="682"/>
      <c r="DS221" s="682"/>
      <c r="DT221" s="682"/>
      <c r="DU221" s="682"/>
      <c r="DV221" s="682"/>
      <c r="DW221" s="682"/>
      <c r="DX221" s="682"/>
      <c r="DY221" s="682"/>
      <c r="DZ221" s="682"/>
      <c r="EA221" s="682"/>
      <c r="EB221" s="682"/>
      <c r="EC221" s="682"/>
      <c r="ED221" s="682"/>
      <c r="EE221" s="682"/>
      <c r="EF221" s="682"/>
      <c r="EG221" s="682"/>
      <c r="EH221" s="682"/>
      <c r="EI221" s="682"/>
      <c r="EJ221" s="682"/>
      <c r="EK221" s="682"/>
      <c r="EL221" s="682"/>
      <c r="EM221" s="682"/>
      <c r="EN221" s="682"/>
      <c r="EO221" s="682"/>
      <c r="EP221" s="682"/>
      <c r="EQ221" s="682"/>
      <c r="ER221" s="682"/>
      <c r="ES221" s="682"/>
      <c r="ET221" s="682"/>
      <c r="EU221" s="682"/>
      <c r="EV221" s="682"/>
      <c r="EW221" s="682"/>
      <c r="EX221" s="682"/>
      <c r="EY221" s="682"/>
      <c r="EZ221" s="682"/>
      <c r="FA221" s="682"/>
      <c r="FB221" s="682"/>
      <c r="FC221" s="682"/>
      <c r="FD221" s="682"/>
      <c r="FE221" s="682"/>
      <c r="FF221" s="682"/>
      <c r="FG221" s="682"/>
      <c r="FH221" s="682"/>
      <c r="FI221" s="682"/>
      <c r="FJ221" s="682"/>
      <c r="FK221" s="682"/>
      <c r="FL221" s="682"/>
      <c r="FM221" s="682"/>
      <c r="FN221" s="682"/>
      <c r="FO221" s="682"/>
      <c r="FP221" s="682"/>
      <c r="FQ221" s="682"/>
      <c r="FR221" s="682"/>
      <c r="FS221" s="682"/>
      <c r="FT221" s="682"/>
      <c r="FU221" s="682"/>
      <c r="FV221" s="682"/>
      <c r="FW221" s="682"/>
      <c r="FX221" s="682"/>
      <c r="FY221" s="682"/>
      <c r="FZ221" s="682"/>
      <c r="GA221" s="682"/>
      <c r="GB221" s="682"/>
      <c r="GC221" s="682"/>
      <c r="GD221" s="682"/>
      <c r="GE221" s="682"/>
      <c r="GF221" s="682"/>
      <c r="GG221" s="682"/>
      <c r="GH221" s="682"/>
      <c r="GI221" s="682"/>
      <c r="GJ221" s="682"/>
      <c r="GK221" s="682"/>
      <c r="GL221" s="682"/>
      <c r="GM221" s="682"/>
      <c r="GN221" s="682"/>
      <c r="GO221" s="682"/>
      <c r="GP221" s="682"/>
      <c r="GQ221" s="682"/>
      <c r="GR221" s="682"/>
      <c r="GS221" s="682"/>
      <c r="GT221" s="682"/>
      <c r="GU221" s="682"/>
      <c r="GV221" s="682"/>
      <c r="GW221" s="682"/>
      <c r="GX221" s="682"/>
      <c r="GY221" s="682"/>
      <c r="GZ221" s="682"/>
      <c r="HA221" s="682"/>
      <c r="HB221" s="682"/>
      <c r="HC221" s="682"/>
      <c r="HD221" s="682"/>
      <c r="HE221" s="682"/>
      <c r="HF221" s="682"/>
      <c r="HG221" s="682"/>
      <c r="HH221" s="682"/>
      <c r="HI221" s="682"/>
      <c r="HJ221" s="682"/>
      <c r="HK221" s="682"/>
      <c r="HL221" s="682"/>
      <c r="HM221" s="682"/>
      <c r="HN221" s="682"/>
      <c r="HO221" s="682"/>
      <c r="HP221" s="682"/>
      <c r="HQ221" s="682"/>
      <c r="HR221" s="682"/>
      <c r="HS221" s="682"/>
      <c r="HT221" s="682"/>
      <c r="HU221" s="682"/>
      <c r="HV221" s="682"/>
      <c r="HW221" s="682"/>
      <c r="HX221" s="682"/>
      <c r="HY221" s="682"/>
      <c r="HZ221" s="682"/>
      <c r="IA221" s="682"/>
      <c r="IB221" s="682"/>
      <c r="IC221" s="682"/>
      <c r="ID221" s="682"/>
      <c r="IE221" s="682"/>
      <c r="IF221" s="682"/>
      <c r="IG221" s="682"/>
      <c r="IH221" s="682"/>
      <c r="II221" s="682"/>
      <c r="IJ221" s="682"/>
      <c r="IK221" s="682"/>
      <c r="IL221" s="682"/>
      <c r="IM221" s="682"/>
      <c r="IN221" s="682"/>
      <c r="IO221" s="682"/>
      <c r="IP221" s="682"/>
      <c r="IQ221" s="682"/>
      <c r="IR221" s="682"/>
      <c r="IS221" s="682"/>
      <c r="IT221" s="682"/>
      <c r="IU221" s="682"/>
      <c r="IV221" s="682"/>
    </row>
    <row r="222" spans="1:256" s="1036" customFormat="1" ht="16.5" customHeight="1" x14ac:dyDescent="0.2">
      <c r="H222" s="682"/>
      <c r="I222" s="682"/>
      <c r="J222" s="682"/>
      <c r="K222" s="682"/>
      <c r="L222" s="682"/>
      <c r="M222" s="682"/>
      <c r="N222" s="682"/>
      <c r="O222" s="682"/>
      <c r="P222" s="682"/>
      <c r="Q222" s="682"/>
      <c r="R222" s="682"/>
      <c r="S222" s="682"/>
      <c r="T222" s="682"/>
      <c r="U222" s="682"/>
      <c r="V222" s="682"/>
      <c r="W222" s="682"/>
      <c r="X222" s="682"/>
      <c r="Y222" s="682"/>
      <c r="Z222" s="682"/>
      <c r="AA222" s="682"/>
      <c r="AB222" s="682"/>
      <c r="AC222" s="682"/>
      <c r="AD222" s="682"/>
      <c r="AE222" s="682"/>
      <c r="AF222" s="682"/>
      <c r="AG222" s="682"/>
      <c r="AH222" s="682"/>
      <c r="AI222" s="682"/>
      <c r="AJ222" s="682"/>
      <c r="AK222" s="682"/>
      <c r="AL222" s="682"/>
      <c r="AM222" s="682"/>
      <c r="AN222" s="682"/>
      <c r="AO222" s="682"/>
      <c r="AP222" s="682"/>
      <c r="AQ222" s="682"/>
      <c r="AR222" s="682"/>
      <c r="AS222" s="682"/>
      <c r="AT222" s="682"/>
      <c r="AU222" s="682"/>
      <c r="AV222" s="682"/>
      <c r="AW222" s="682"/>
      <c r="AX222" s="682"/>
      <c r="AY222" s="682"/>
      <c r="AZ222" s="682"/>
      <c r="BA222" s="682"/>
      <c r="BB222" s="682"/>
      <c r="BC222" s="682"/>
      <c r="BD222" s="682"/>
      <c r="BE222" s="682"/>
      <c r="BF222" s="682"/>
      <c r="BG222" s="682"/>
      <c r="BH222" s="682"/>
      <c r="BI222" s="682"/>
      <c r="BJ222" s="682"/>
      <c r="BK222" s="682"/>
      <c r="BL222" s="682"/>
      <c r="BM222" s="682"/>
      <c r="BN222" s="682"/>
      <c r="BO222" s="682"/>
      <c r="BP222" s="682"/>
      <c r="BQ222" s="682"/>
      <c r="BR222" s="682"/>
      <c r="BS222" s="682"/>
      <c r="BT222" s="682"/>
      <c r="BU222" s="682"/>
      <c r="BV222" s="682"/>
      <c r="BW222" s="682"/>
      <c r="BX222" s="682"/>
      <c r="BY222" s="682"/>
      <c r="BZ222" s="682"/>
      <c r="CA222" s="682"/>
      <c r="CB222" s="682"/>
      <c r="CC222" s="682"/>
      <c r="CD222" s="682"/>
      <c r="CE222" s="682"/>
      <c r="CF222" s="682"/>
      <c r="CG222" s="682"/>
      <c r="CH222" s="682"/>
      <c r="CI222" s="682"/>
      <c r="CJ222" s="682"/>
      <c r="CK222" s="682"/>
      <c r="CL222" s="682"/>
      <c r="CM222" s="682"/>
      <c r="CN222" s="682"/>
      <c r="CO222" s="682"/>
      <c r="CP222" s="682"/>
      <c r="CQ222" s="682"/>
      <c r="CR222" s="682"/>
      <c r="CS222" s="682"/>
      <c r="CT222" s="682"/>
      <c r="CU222" s="682"/>
      <c r="CV222" s="682"/>
      <c r="CW222" s="682"/>
      <c r="CX222" s="682"/>
      <c r="CY222" s="682"/>
      <c r="CZ222" s="682"/>
      <c r="DA222" s="682"/>
      <c r="DB222" s="682"/>
      <c r="DC222" s="682"/>
      <c r="DD222" s="682"/>
      <c r="DE222" s="682"/>
      <c r="DF222" s="682"/>
      <c r="DG222" s="682"/>
      <c r="DH222" s="682"/>
      <c r="DI222" s="682"/>
      <c r="DJ222" s="682"/>
      <c r="DK222" s="682"/>
      <c r="DL222" s="682"/>
      <c r="DM222" s="682"/>
      <c r="DN222" s="682"/>
      <c r="DO222" s="682"/>
      <c r="DP222" s="682"/>
      <c r="DQ222" s="682"/>
      <c r="DR222" s="682"/>
      <c r="DS222" s="682"/>
      <c r="DT222" s="682"/>
      <c r="DU222" s="682"/>
      <c r="DV222" s="682"/>
      <c r="DW222" s="682"/>
      <c r="DX222" s="682"/>
      <c r="DY222" s="682"/>
      <c r="DZ222" s="682"/>
      <c r="EA222" s="682"/>
      <c r="EB222" s="682"/>
      <c r="EC222" s="682"/>
      <c r="ED222" s="682"/>
      <c r="EE222" s="682"/>
      <c r="EF222" s="682"/>
      <c r="EG222" s="682"/>
      <c r="EH222" s="682"/>
      <c r="EI222" s="682"/>
      <c r="EJ222" s="682"/>
      <c r="EK222" s="682"/>
      <c r="EL222" s="682"/>
      <c r="EM222" s="682"/>
      <c r="EN222" s="682"/>
      <c r="EO222" s="682"/>
      <c r="EP222" s="682"/>
      <c r="EQ222" s="682"/>
      <c r="ER222" s="682"/>
      <c r="ES222" s="682"/>
      <c r="ET222" s="682"/>
      <c r="EU222" s="682"/>
      <c r="EV222" s="682"/>
      <c r="EW222" s="682"/>
      <c r="EX222" s="682"/>
      <c r="EY222" s="682"/>
      <c r="EZ222" s="682"/>
      <c r="FA222" s="682"/>
      <c r="FB222" s="682"/>
      <c r="FC222" s="682"/>
      <c r="FD222" s="682"/>
      <c r="FE222" s="682"/>
      <c r="FF222" s="682"/>
      <c r="FG222" s="682"/>
      <c r="FH222" s="682"/>
      <c r="FI222" s="682"/>
      <c r="FJ222" s="682"/>
      <c r="FK222" s="682"/>
      <c r="FL222" s="682"/>
      <c r="FM222" s="682"/>
      <c r="FN222" s="682"/>
      <c r="FO222" s="682"/>
      <c r="FP222" s="682"/>
      <c r="FQ222" s="682"/>
      <c r="FR222" s="682"/>
      <c r="FS222" s="682"/>
      <c r="FT222" s="682"/>
      <c r="FU222" s="682"/>
      <c r="FV222" s="682"/>
      <c r="FW222" s="682"/>
      <c r="FX222" s="682"/>
      <c r="FY222" s="682"/>
      <c r="FZ222" s="682"/>
      <c r="GA222" s="682"/>
      <c r="GB222" s="682"/>
      <c r="GC222" s="682"/>
      <c r="GD222" s="682"/>
      <c r="GE222" s="682"/>
      <c r="GF222" s="682"/>
      <c r="GG222" s="682"/>
      <c r="GH222" s="682"/>
      <c r="GI222" s="682"/>
      <c r="GJ222" s="682"/>
      <c r="GK222" s="682"/>
      <c r="GL222" s="682"/>
      <c r="GM222" s="682"/>
      <c r="GN222" s="682"/>
      <c r="GO222" s="682"/>
      <c r="GP222" s="682"/>
      <c r="GQ222" s="682"/>
      <c r="GR222" s="682"/>
      <c r="GS222" s="682"/>
      <c r="GT222" s="682"/>
      <c r="GU222" s="682"/>
      <c r="GV222" s="682"/>
      <c r="GW222" s="682"/>
      <c r="GX222" s="682"/>
      <c r="GY222" s="682"/>
      <c r="GZ222" s="682"/>
      <c r="HA222" s="682"/>
      <c r="HB222" s="682"/>
      <c r="HC222" s="682"/>
      <c r="HD222" s="682"/>
      <c r="HE222" s="682"/>
      <c r="HF222" s="682"/>
      <c r="HG222" s="682"/>
      <c r="HH222" s="682"/>
      <c r="HI222" s="682"/>
      <c r="HJ222" s="682"/>
      <c r="HK222" s="682"/>
      <c r="HL222" s="682"/>
      <c r="HM222" s="682"/>
      <c r="HN222" s="682"/>
      <c r="HO222" s="682"/>
      <c r="HP222" s="682"/>
      <c r="HQ222" s="682"/>
      <c r="HR222" s="682"/>
      <c r="HS222" s="682"/>
      <c r="HT222" s="682"/>
      <c r="HU222" s="682"/>
      <c r="HV222" s="682"/>
      <c r="HW222" s="682"/>
      <c r="HX222" s="682"/>
      <c r="HY222" s="682"/>
      <c r="HZ222" s="682"/>
      <c r="IA222" s="682"/>
      <c r="IB222" s="682"/>
      <c r="IC222" s="682"/>
      <c r="ID222" s="682"/>
      <c r="IE222" s="682"/>
      <c r="IF222" s="682"/>
      <c r="IG222" s="682"/>
      <c r="IH222" s="682"/>
      <c r="II222" s="682"/>
      <c r="IJ222" s="682"/>
      <c r="IK222" s="682"/>
      <c r="IL222" s="682"/>
      <c r="IM222" s="682"/>
      <c r="IN222" s="682"/>
      <c r="IO222" s="682"/>
      <c r="IP222" s="682"/>
      <c r="IQ222" s="682"/>
      <c r="IR222" s="682"/>
      <c r="IS222" s="682"/>
      <c r="IT222" s="682"/>
      <c r="IU222" s="682"/>
      <c r="IV222" s="682"/>
    </row>
    <row r="223" spans="1:256" s="1036" customFormat="1" ht="16.5" customHeight="1" x14ac:dyDescent="0.2">
      <c r="H223" s="682"/>
      <c r="I223" s="682"/>
      <c r="J223" s="682"/>
      <c r="K223" s="682"/>
      <c r="L223" s="682"/>
      <c r="M223" s="682"/>
      <c r="N223" s="682"/>
      <c r="O223" s="682"/>
      <c r="P223" s="682"/>
      <c r="Q223" s="682"/>
      <c r="R223" s="682"/>
      <c r="S223" s="682"/>
      <c r="T223" s="682"/>
      <c r="U223" s="682"/>
      <c r="V223" s="682"/>
      <c r="W223" s="682"/>
      <c r="X223" s="682"/>
      <c r="Y223" s="682"/>
      <c r="Z223" s="682"/>
      <c r="AA223" s="682"/>
      <c r="AB223" s="682"/>
      <c r="AC223" s="682"/>
      <c r="AD223" s="682"/>
      <c r="AE223" s="682"/>
      <c r="AF223" s="682"/>
      <c r="AG223" s="682"/>
      <c r="AH223" s="682"/>
      <c r="AI223" s="682"/>
      <c r="AJ223" s="682"/>
      <c r="AK223" s="682"/>
      <c r="AL223" s="682"/>
      <c r="AM223" s="682"/>
      <c r="AN223" s="682"/>
      <c r="AO223" s="682"/>
      <c r="AP223" s="682"/>
      <c r="AQ223" s="682"/>
      <c r="AR223" s="682"/>
      <c r="AS223" s="682"/>
      <c r="AT223" s="682"/>
      <c r="AU223" s="682"/>
      <c r="AV223" s="682"/>
      <c r="AW223" s="682"/>
      <c r="AX223" s="682"/>
      <c r="AY223" s="682"/>
      <c r="AZ223" s="682"/>
      <c r="BA223" s="682"/>
      <c r="BB223" s="682"/>
      <c r="BC223" s="682"/>
      <c r="BD223" s="682"/>
      <c r="BE223" s="682"/>
      <c r="BF223" s="682"/>
      <c r="BG223" s="682"/>
      <c r="BH223" s="682"/>
      <c r="BI223" s="682"/>
      <c r="BJ223" s="682"/>
      <c r="BK223" s="682"/>
      <c r="BL223" s="682"/>
      <c r="BM223" s="682"/>
      <c r="BN223" s="682"/>
      <c r="BO223" s="682"/>
      <c r="BP223" s="682"/>
      <c r="BQ223" s="682"/>
      <c r="BR223" s="682"/>
      <c r="BS223" s="682"/>
      <c r="BT223" s="682"/>
      <c r="BU223" s="682"/>
      <c r="BV223" s="682"/>
      <c r="BW223" s="682"/>
      <c r="BX223" s="682"/>
      <c r="BY223" s="682"/>
      <c r="BZ223" s="682"/>
      <c r="CA223" s="682"/>
      <c r="CB223" s="682"/>
      <c r="CC223" s="682"/>
      <c r="CD223" s="682"/>
      <c r="CE223" s="682"/>
      <c r="CF223" s="682"/>
      <c r="CG223" s="682"/>
      <c r="CH223" s="682"/>
      <c r="CI223" s="682"/>
      <c r="CJ223" s="682"/>
      <c r="CK223" s="682"/>
      <c r="CL223" s="682"/>
      <c r="CM223" s="682"/>
      <c r="CN223" s="682"/>
      <c r="CO223" s="682"/>
      <c r="CP223" s="682"/>
      <c r="CQ223" s="682"/>
      <c r="CR223" s="682"/>
      <c r="CS223" s="682"/>
      <c r="CT223" s="682"/>
      <c r="CU223" s="682"/>
      <c r="CV223" s="682"/>
      <c r="CW223" s="682"/>
      <c r="CX223" s="682"/>
      <c r="CY223" s="682"/>
      <c r="CZ223" s="682"/>
      <c r="DA223" s="682"/>
      <c r="DB223" s="682"/>
      <c r="DC223" s="682"/>
      <c r="DD223" s="682"/>
      <c r="DE223" s="682"/>
      <c r="DF223" s="682"/>
      <c r="DG223" s="682"/>
      <c r="DH223" s="682"/>
      <c r="DI223" s="682"/>
      <c r="DJ223" s="682"/>
      <c r="DK223" s="682"/>
      <c r="DL223" s="682"/>
      <c r="DM223" s="682"/>
      <c r="DN223" s="682"/>
      <c r="DO223" s="682"/>
      <c r="DP223" s="682"/>
      <c r="DQ223" s="682"/>
      <c r="DR223" s="682"/>
      <c r="DS223" s="682"/>
      <c r="DT223" s="682"/>
      <c r="DU223" s="682"/>
      <c r="DV223" s="682"/>
      <c r="DW223" s="682"/>
      <c r="DX223" s="682"/>
      <c r="DY223" s="682"/>
      <c r="DZ223" s="682"/>
      <c r="EA223" s="682"/>
      <c r="EB223" s="682"/>
      <c r="EC223" s="682"/>
      <c r="ED223" s="682"/>
      <c r="EE223" s="682"/>
      <c r="EF223" s="682"/>
      <c r="EG223" s="682"/>
      <c r="EH223" s="682"/>
      <c r="EI223" s="682"/>
      <c r="EJ223" s="682"/>
      <c r="EK223" s="682"/>
      <c r="EL223" s="682"/>
      <c r="EM223" s="682"/>
      <c r="EN223" s="682"/>
      <c r="EO223" s="682"/>
      <c r="EP223" s="682"/>
      <c r="EQ223" s="682"/>
      <c r="ER223" s="682"/>
      <c r="ES223" s="682"/>
      <c r="ET223" s="682"/>
      <c r="EU223" s="682"/>
      <c r="EV223" s="682"/>
      <c r="EW223" s="682"/>
      <c r="EX223" s="682"/>
      <c r="EY223" s="682"/>
      <c r="EZ223" s="682"/>
      <c r="FA223" s="682"/>
      <c r="FB223" s="682"/>
      <c r="FC223" s="682"/>
      <c r="FD223" s="682"/>
      <c r="FE223" s="682"/>
      <c r="FF223" s="682"/>
      <c r="FG223" s="682"/>
      <c r="FH223" s="682"/>
      <c r="FI223" s="682"/>
      <c r="FJ223" s="682"/>
      <c r="FK223" s="682"/>
      <c r="FL223" s="682"/>
      <c r="FM223" s="682"/>
      <c r="FN223" s="682"/>
      <c r="FO223" s="682"/>
      <c r="FP223" s="682"/>
      <c r="FQ223" s="682"/>
      <c r="FR223" s="682"/>
      <c r="FS223" s="682"/>
      <c r="FT223" s="682"/>
      <c r="FU223" s="682"/>
      <c r="FV223" s="682"/>
      <c r="FW223" s="682"/>
      <c r="FX223" s="682"/>
      <c r="FY223" s="682"/>
      <c r="FZ223" s="682"/>
      <c r="GA223" s="682"/>
      <c r="GB223" s="682"/>
      <c r="GC223" s="682"/>
      <c r="GD223" s="682"/>
      <c r="GE223" s="682"/>
      <c r="GF223" s="682"/>
      <c r="GG223" s="682"/>
      <c r="GH223" s="682"/>
      <c r="GI223" s="682"/>
      <c r="GJ223" s="682"/>
      <c r="GK223" s="682"/>
      <c r="GL223" s="682"/>
      <c r="GM223" s="682"/>
      <c r="GN223" s="682"/>
      <c r="GO223" s="682"/>
      <c r="GP223" s="682"/>
      <c r="GQ223" s="682"/>
      <c r="GR223" s="682"/>
      <c r="GS223" s="682"/>
      <c r="GT223" s="682"/>
      <c r="GU223" s="682"/>
      <c r="GV223" s="682"/>
      <c r="GW223" s="682"/>
      <c r="GX223" s="682"/>
      <c r="GY223" s="682"/>
      <c r="GZ223" s="682"/>
      <c r="HA223" s="682"/>
      <c r="HB223" s="682"/>
      <c r="HC223" s="682"/>
      <c r="HD223" s="682"/>
      <c r="HE223" s="682"/>
      <c r="HF223" s="682"/>
      <c r="HG223" s="682"/>
      <c r="HH223" s="682"/>
      <c r="HI223" s="682"/>
      <c r="HJ223" s="682"/>
      <c r="HK223" s="682"/>
      <c r="HL223" s="682"/>
      <c r="HM223" s="682"/>
      <c r="HN223" s="682"/>
      <c r="HO223" s="682"/>
      <c r="HP223" s="682"/>
      <c r="HQ223" s="682"/>
      <c r="HR223" s="682"/>
      <c r="HS223" s="682"/>
      <c r="HT223" s="682"/>
      <c r="HU223" s="682"/>
      <c r="HV223" s="682"/>
      <c r="HW223" s="682"/>
      <c r="HX223" s="682"/>
      <c r="HY223" s="682"/>
      <c r="HZ223" s="682"/>
      <c r="IA223" s="682"/>
      <c r="IB223" s="682"/>
      <c r="IC223" s="682"/>
      <c r="ID223" s="682"/>
      <c r="IE223" s="682"/>
      <c r="IF223" s="682"/>
      <c r="IG223" s="682"/>
      <c r="IH223" s="682"/>
      <c r="II223" s="682"/>
      <c r="IJ223" s="682"/>
      <c r="IK223" s="682"/>
      <c r="IL223" s="682"/>
      <c r="IM223" s="682"/>
      <c r="IN223" s="682"/>
      <c r="IO223" s="682"/>
      <c r="IP223" s="682"/>
      <c r="IQ223" s="682"/>
      <c r="IR223" s="682"/>
      <c r="IS223" s="682"/>
      <c r="IT223" s="682"/>
      <c r="IU223" s="682"/>
      <c r="IV223" s="682"/>
    </row>
    <row r="224" spans="1:256" s="1036" customFormat="1" ht="16.5" customHeight="1" x14ac:dyDescent="0.2">
      <c r="H224" s="682"/>
      <c r="I224" s="682"/>
      <c r="J224" s="682"/>
      <c r="K224" s="682"/>
      <c r="L224" s="682"/>
      <c r="M224" s="682"/>
      <c r="N224" s="682"/>
      <c r="O224" s="682"/>
      <c r="P224" s="682"/>
      <c r="Q224" s="682"/>
      <c r="R224" s="682"/>
      <c r="S224" s="682"/>
      <c r="T224" s="682"/>
      <c r="U224" s="682"/>
      <c r="V224" s="682"/>
      <c r="W224" s="682"/>
      <c r="X224" s="682"/>
      <c r="Y224" s="682"/>
      <c r="Z224" s="682"/>
      <c r="AA224" s="682"/>
      <c r="AB224" s="682"/>
      <c r="AC224" s="682"/>
      <c r="AD224" s="682"/>
      <c r="AE224" s="682"/>
      <c r="AF224" s="682"/>
      <c r="AG224" s="682"/>
      <c r="AH224" s="682"/>
      <c r="AI224" s="682"/>
      <c r="AJ224" s="682"/>
      <c r="AK224" s="682"/>
      <c r="AL224" s="682"/>
      <c r="AM224" s="682"/>
      <c r="AN224" s="682"/>
      <c r="AO224" s="682"/>
      <c r="AP224" s="682"/>
      <c r="AQ224" s="682"/>
      <c r="AR224" s="682"/>
      <c r="AS224" s="682"/>
      <c r="AT224" s="682"/>
      <c r="AU224" s="682"/>
      <c r="AV224" s="682"/>
      <c r="AW224" s="682"/>
      <c r="AX224" s="682"/>
      <c r="AY224" s="682"/>
      <c r="AZ224" s="682"/>
      <c r="BA224" s="682"/>
      <c r="BB224" s="682"/>
      <c r="BC224" s="682"/>
      <c r="BD224" s="682"/>
      <c r="BE224" s="682"/>
      <c r="BF224" s="682"/>
      <c r="BG224" s="682"/>
      <c r="BH224" s="682"/>
      <c r="BI224" s="682"/>
      <c r="BJ224" s="682"/>
      <c r="BK224" s="682"/>
      <c r="BL224" s="682"/>
      <c r="BM224" s="682"/>
      <c r="BN224" s="682"/>
      <c r="BO224" s="682"/>
      <c r="BP224" s="682"/>
      <c r="BQ224" s="682"/>
      <c r="BR224" s="682"/>
      <c r="BS224" s="682"/>
      <c r="BT224" s="682"/>
      <c r="BU224" s="682"/>
      <c r="BV224" s="682"/>
      <c r="BW224" s="682"/>
      <c r="BX224" s="682"/>
      <c r="BY224" s="682"/>
      <c r="BZ224" s="682"/>
      <c r="CA224" s="682"/>
      <c r="CB224" s="682"/>
      <c r="CC224" s="682"/>
      <c r="CD224" s="682"/>
      <c r="CE224" s="682"/>
      <c r="CF224" s="682"/>
      <c r="CG224" s="682"/>
      <c r="CH224" s="682"/>
      <c r="CI224" s="682"/>
      <c r="CJ224" s="682"/>
      <c r="CK224" s="682"/>
      <c r="CL224" s="682"/>
      <c r="CM224" s="682"/>
      <c r="CN224" s="682"/>
      <c r="CO224" s="682"/>
      <c r="CP224" s="682"/>
      <c r="CQ224" s="682"/>
      <c r="CR224" s="682"/>
      <c r="CS224" s="682"/>
      <c r="CT224" s="682"/>
      <c r="CU224" s="682"/>
      <c r="CV224" s="682"/>
      <c r="CW224" s="682"/>
      <c r="CX224" s="682"/>
      <c r="CY224" s="682"/>
      <c r="CZ224" s="682"/>
      <c r="DA224" s="682"/>
      <c r="DB224" s="682"/>
      <c r="DC224" s="682"/>
      <c r="DD224" s="682"/>
      <c r="DE224" s="682"/>
      <c r="DF224" s="682"/>
      <c r="DG224" s="682"/>
      <c r="DH224" s="682"/>
      <c r="DI224" s="682"/>
      <c r="DJ224" s="682"/>
      <c r="DK224" s="682"/>
      <c r="DL224" s="682"/>
      <c r="DM224" s="682"/>
      <c r="DN224" s="682"/>
      <c r="DO224" s="682"/>
      <c r="DP224" s="682"/>
      <c r="DQ224" s="682"/>
      <c r="DR224" s="682"/>
      <c r="DS224" s="682"/>
      <c r="DT224" s="682"/>
      <c r="DU224" s="682"/>
      <c r="DV224" s="682"/>
      <c r="DW224" s="682"/>
      <c r="DX224" s="682"/>
      <c r="DY224" s="682"/>
      <c r="DZ224" s="682"/>
      <c r="EA224" s="682"/>
      <c r="EB224" s="682"/>
      <c r="EC224" s="682"/>
      <c r="ED224" s="682"/>
      <c r="EE224" s="682"/>
      <c r="EF224" s="682"/>
      <c r="EG224" s="682"/>
      <c r="EH224" s="682"/>
      <c r="EI224" s="682"/>
      <c r="EJ224" s="682"/>
      <c r="EK224" s="682"/>
      <c r="EL224" s="682"/>
      <c r="EM224" s="682"/>
      <c r="EN224" s="682"/>
      <c r="EO224" s="682"/>
      <c r="EP224" s="682"/>
      <c r="EQ224" s="682"/>
      <c r="ER224" s="682"/>
      <c r="ES224" s="682"/>
      <c r="ET224" s="682"/>
      <c r="EU224" s="682"/>
      <c r="EV224" s="682"/>
      <c r="EW224" s="682"/>
      <c r="EX224" s="682"/>
      <c r="EY224" s="682"/>
      <c r="EZ224" s="682"/>
      <c r="FA224" s="682"/>
      <c r="FB224" s="682"/>
      <c r="FC224" s="682"/>
      <c r="FD224" s="682"/>
      <c r="FE224" s="682"/>
      <c r="FF224" s="682"/>
      <c r="FG224" s="682"/>
      <c r="FH224" s="682"/>
      <c r="FI224" s="682"/>
      <c r="FJ224" s="682"/>
      <c r="FK224" s="682"/>
      <c r="FL224" s="682"/>
      <c r="FM224" s="682"/>
      <c r="FN224" s="682"/>
      <c r="FO224" s="682"/>
      <c r="FP224" s="682"/>
      <c r="FQ224" s="682"/>
      <c r="FR224" s="682"/>
      <c r="FS224" s="682"/>
      <c r="FT224" s="682"/>
      <c r="FU224" s="682"/>
      <c r="FV224" s="682"/>
      <c r="FW224" s="682"/>
      <c r="FX224" s="682"/>
      <c r="FY224" s="682"/>
      <c r="FZ224" s="682"/>
      <c r="GA224" s="682"/>
      <c r="GB224" s="682"/>
      <c r="GC224" s="682"/>
      <c r="GD224" s="682"/>
      <c r="GE224" s="682"/>
      <c r="GF224" s="682"/>
      <c r="GG224" s="682"/>
      <c r="GH224" s="682"/>
      <c r="GI224" s="682"/>
      <c r="GJ224" s="682"/>
      <c r="GK224" s="682"/>
      <c r="GL224" s="682"/>
      <c r="GM224" s="682"/>
      <c r="GN224" s="682"/>
      <c r="GO224" s="682"/>
      <c r="GP224" s="682"/>
      <c r="GQ224" s="682"/>
      <c r="GR224" s="682"/>
      <c r="GS224" s="682"/>
      <c r="GT224" s="682"/>
      <c r="GU224" s="682"/>
      <c r="GV224" s="682"/>
      <c r="GW224" s="682"/>
      <c r="GX224" s="682"/>
      <c r="GY224" s="682"/>
      <c r="GZ224" s="682"/>
      <c r="HA224" s="682"/>
      <c r="HB224" s="682"/>
      <c r="HC224" s="682"/>
      <c r="HD224" s="682"/>
      <c r="HE224" s="682"/>
      <c r="HF224" s="682"/>
      <c r="HG224" s="682"/>
      <c r="HH224" s="682"/>
      <c r="HI224" s="682"/>
      <c r="HJ224" s="682"/>
      <c r="HK224" s="682"/>
      <c r="HL224" s="682"/>
      <c r="HM224" s="682"/>
      <c r="HN224" s="682"/>
      <c r="HO224" s="682"/>
      <c r="HP224" s="682"/>
      <c r="HQ224" s="682"/>
      <c r="HR224" s="682"/>
      <c r="HS224" s="682"/>
      <c r="HT224" s="682"/>
      <c r="HU224" s="682"/>
      <c r="HV224" s="682"/>
      <c r="HW224" s="682"/>
      <c r="HX224" s="682"/>
      <c r="HY224" s="682"/>
      <c r="HZ224" s="682"/>
      <c r="IA224" s="682"/>
      <c r="IB224" s="682"/>
      <c r="IC224" s="682"/>
      <c r="ID224" s="682"/>
      <c r="IE224" s="682"/>
      <c r="IF224" s="682"/>
      <c r="IG224" s="682"/>
      <c r="IH224" s="682"/>
      <c r="II224" s="682"/>
      <c r="IJ224" s="682"/>
      <c r="IK224" s="682"/>
      <c r="IL224" s="682"/>
      <c r="IM224" s="682"/>
      <c r="IN224" s="682"/>
      <c r="IO224" s="682"/>
      <c r="IP224" s="682"/>
      <c r="IQ224" s="682"/>
      <c r="IR224" s="682"/>
      <c r="IS224" s="682"/>
      <c r="IT224" s="682"/>
      <c r="IU224" s="682"/>
      <c r="IV224" s="682"/>
    </row>
    <row r="225" spans="1:256" s="1036" customFormat="1" ht="16.5" customHeight="1" x14ac:dyDescent="0.2">
      <c r="H225" s="682"/>
      <c r="I225" s="682"/>
      <c r="J225" s="682"/>
      <c r="K225" s="682"/>
      <c r="L225" s="682"/>
      <c r="M225" s="682"/>
      <c r="N225" s="682"/>
      <c r="O225" s="682"/>
      <c r="P225" s="682"/>
      <c r="Q225" s="682"/>
      <c r="R225" s="682"/>
      <c r="S225" s="682"/>
      <c r="T225" s="682"/>
      <c r="U225" s="682"/>
      <c r="V225" s="682"/>
      <c r="W225" s="682"/>
      <c r="X225" s="682"/>
      <c r="Y225" s="682"/>
      <c r="Z225" s="682"/>
      <c r="AA225" s="682"/>
      <c r="AB225" s="682"/>
      <c r="AC225" s="682"/>
      <c r="AD225" s="682"/>
      <c r="AE225" s="682"/>
      <c r="AF225" s="682"/>
      <c r="AG225" s="682"/>
      <c r="AH225" s="682"/>
      <c r="AI225" s="682"/>
      <c r="AJ225" s="682"/>
      <c r="AK225" s="682"/>
      <c r="AL225" s="682"/>
      <c r="AM225" s="682"/>
      <c r="AN225" s="682"/>
      <c r="AO225" s="682"/>
      <c r="AP225" s="682"/>
      <c r="AQ225" s="682"/>
      <c r="AR225" s="682"/>
      <c r="AS225" s="682"/>
      <c r="AT225" s="682"/>
      <c r="AU225" s="682"/>
      <c r="AV225" s="682"/>
      <c r="AW225" s="682"/>
      <c r="AX225" s="682"/>
      <c r="AY225" s="682"/>
      <c r="AZ225" s="682"/>
      <c r="BA225" s="682"/>
      <c r="BB225" s="682"/>
      <c r="BC225" s="682"/>
      <c r="BD225" s="682"/>
      <c r="BE225" s="682"/>
      <c r="BF225" s="682"/>
      <c r="BG225" s="682"/>
      <c r="BH225" s="682"/>
      <c r="BI225" s="682"/>
      <c r="BJ225" s="682"/>
      <c r="BK225" s="682"/>
      <c r="BL225" s="682"/>
      <c r="BM225" s="682"/>
      <c r="BN225" s="682"/>
      <c r="BO225" s="682"/>
      <c r="BP225" s="682"/>
      <c r="BQ225" s="682"/>
      <c r="BR225" s="682"/>
      <c r="BS225" s="682"/>
      <c r="BT225" s="682"/>
      <c r="BU225" s="682"/>
      <c r="BV225" s="682"/>
      <c r="BW225" s="682"/>
      <c r="BX225" s="682"/>
      <c r="BY225" s="682"/>
      <c r="BZ225" s="682"/>
      <c r="CA225" s="682"/>
      <c r="CB225" s="682"/>
      <c r="CC225" s="682"/>
      <c r="CD225" s="682"/>
      <c r="CE225" s="682"/>
      <c r="CF225" s="682"/>
      <c r="CG225" s="682"/>
      <c r="CH225" s="682"/>
      <c r="CI225" s="682"/>
      <c r="CJ225" s="682"/>
      <c r="CK225" s="682"/>
      <c r="CL225" s="682"/>
      <c r="CM225" s="682"/>
      <c r="CN225" s="682"/>
      <c r="CO225" s="682"/>
      <c r="CP225" s="682"/>
      <c r="CQ225" s="682"/>
      <c r="CR225" s="682"/>
      <c r="CS225" s="682"/>
      <c r="CT225" s="682"/>
      <c r="CU225" s="682"/>
      <c r="CV225" s="682"/>
      <c r="CW225" s="682"/>
      <c r="CX225" s="682"/>
      <c r="CY225" s="682"/>
      <c r="CZ225" s="682"/>
      <c r="DA225" s="682"/>
      <c r="DB225" s="682"/>
      <c r="DC225" s="682"/>
      <c r="DD225" s="682"/>
      <c r="DE225" s="682"/>
      <c r="DF225" s="682"/>
      <c r="DG225" s="682"/>
      <c r="DH225" s="682"/>
      <c r="DI225" s="682"/>
      <c r="DJ225" s="682"/>
      <c r="DK225" s="682"/>
      <c r="DL225" s="682"/>
      <c r="DM225" s="682"/>
      <c r="DN225" s="682"/>
      <c r="DO225" s="682"/>
      <c r="DP225" s="682"/>
      <c r="DQ225" s="682"/>
      <c r="DR225" s="682"/>
      <c r="DS225" s="682"/>
      <c r="DT225" s="682"/>
      <c r="DU225" s="682"/>
      <c r="DV225" s="682"/>
      <c r="DW225" s="682"/>
      <c r="DX225" s="682"/>
      <c r="DY225" s="682"/>
      <c r="DZ225" s="682"/>
      <c r="EA225" s="682"/>
      <c r="EB225" s="682"/>
      <c r="EC225" s="682"/>
      <c r="ED225" s="682"/>
      <c r="EE225" s="682"/>
      <c r="EF225" s="682"/>
      <c r="EG225" s="682"/>
      <c r="EH225" s="682"/>
      <c r="EI225" s="682"/>
      <c r="EJ225" s="682"/>
      <c r="EK225" s="682"/>
      <c r="EL225" s="682"/>
      <c r="EM225" s="682"/>
      <c r="EN225" s="682"/>
      <c r="EO225" s="682"/>
      <c r="EP225" s="682"/>
      <c r="EQ225" s="682"/>
      <c r="ER225" s="682"/>
      <c r="ES225" s="682"/>
      <c r="ET225" s="682"/>
      <c r="EU225" s="682"/>
      <c r="EV225" s="682"/>
      <c r="EW225" s="682"/>
      <c r="EX225" s="682"/>
      <c r="EY225" s="682"/>
      <c r="EZ225" s="682"/>
      <c r="FA225" s="682"/>
      <c r="FB225" s="682"/>
      <c r="FC225" s="682"/>
      <c r="FD225" s="682"/>
      <c r="FE225" s="682"/>
      <c r="FF225" s="682"/>
      <c r="FG225" s="682"/>
      <c r="FH225" s="682"/>
      <c r="FI225" s="682"/>
      <c r="FJ225" s="682"/>
      <c r="FK225" s="682"/>
      <c r="FL225" s="682"/>
      <c r="FM225" s="682"/>
      <c r="FN225" s="682"/>
      <c r="FO225" s="682"/>
      <c r="FP225" s="682"/>
      <c r="FQ225" s="682"/>
      <c r="FR225" s="682"/>
      <c r="FS225" s="682"/>
      <c r="FT225" s="682"/>
      <c r="FU225" s="682"/>
      <c r="FV225" s="682"/>
      <c r="FW225" s="682"/>
      <c r="FX225" s="682"/>
      <c r="FY225" s="682"/>
      <c r="FZ225" s="682"/>
      <c r="GA225" s="682"/>
      <c r="GB225" s="682"/>
      <c r="GC225" s="682"/>
      <c r="GD225" s="682"/>
      <c r="GE225" s="682"/>
      <c r="GF225" s="682"/>
      <c r="GG225" s="682"/>
      <c r="GH225" s="682"/>
      <c r="GI225" s="682"/>
      <c r="GJ225" s="682"/>
      <c r="GK225" s="682"/>
      <c r="GL225" s="682"/>
      <c r="GM225" s="682"/>
      <c r="GN225" s="682"/>
      <c r="GO225" s="682"/>
      <c r="GP225" s="682"/>
      <c r="GQ225" s="682"/>
      <c r="GR225" s="682"/>
      <c r="GS225" s="682"/>
      <c r="GT225" s="682"/>
      <c r="GU225" s="682"/>
      <c r="GV225" s="682"/>
      <c r="GW225" s="682"/>
      <c r="GX225" s="682"/>
      <c r="GY225" s="682"/>
      <c r="GZ225" s="682"/>
      <c r="HA225" s="682"/>
      <c r="HB225" s="682"/>
      <c r="HC225" s="682"/>
      <c r="HD225" s="682"/>
      <c r="HE225" s="682"/>
      <c r="HF225" s="682"/>
      <c r="HG225" s="682"/>
      <c r="HH225" s="682"/>
      <c r="HI225" s="682"/>
      <c r="HJ225" s="682"/>
      <c r="HK225" s="682"/>
      <c r="HL225" s="682"/>
      <c r="HM225" s="682"/>
      <c r="HN225" s="682"/>
      <c r="HO225" s="682"/>
      <c r="HP225" s="682"/>
      <c r="HQ225" s="682"/>
      <c r="HR225" s="682"/>
      <c r="HS225" s="682"/>
      <c r="HT225" s="682"/>
      <c r="HU225" s="682"/>
      <c r="HV225" s="682"/>
      <c r="HW225" s="682"/>
      <c r="HX225" s="682"/>
      <c r="HY225" s="682"/>
      <c r="HZ225" s="682"/>
      <c r="IA225" s="682"/>
      <c r="IB225" s="682"/>
      <c r="IC225" s="682"/>
      <c r="ID225" s="682"/>
      <c r="IE225" s="682"/>
      <c r="IF225" s="682"/>
      <c r="IG225" s="682"/>
      <c r="IH225" s="682"/>
      <c r="II225" s="682"/>
      <c r="IJ225" s="682"/>
      <c r="IK225" s="682"/>
      <c r="IL225" s="682"/>
      <c r="IM225" s="682"/>
      <c r="IN225" s="682"/>
      <c r="IO225" s="682"/>
      <c r="IP225" s="682"/>
      <c r="IQ225" s="682"/>
      <c r="IR225" s="682"/>
      <c r="IS225" s="682"/>
      <c r="IT225" s="682"/>
      <c r="IU225" s="682"/>
      <c r="IV225" s="682"/>
    </row>
    <row r="226" spans="1:256" s="1036" customFormat="1" ht="16.5" customHeight="1" x14ac:dyDescent="0.2">
      <c r="H226" s="682"/>
      <c r="I226" s="682"/>
      <c r="J226" s="682"/>
      <c r="K226" s="682"/>
      <c r="L226" s="682"/>
      <c r="M226" s="682"/>
      <c r="N226" s="682"/>
      <c r="O226" s="682"/>
      <c r="P226" s="682"/>
      <c r="Q226" s="682"/>
      <c r="R226" s="682"/>
      <c r="S226" s="682"/>
      <c r="T226" s="682"/>
      <c r="U226" s="682"/>
      <c r="V226" s="682"/>
      <c r="W226" s="682"/>
      <c r="X226" s="682"/>
      <c r="Y226" s="682"/>
      <c r="Z226" s="682"/>
      <c r="AA226" s="682"/>
      <c r="AB226" s="682"/>
      <c r="AC226" s="682"/>
      <c r="AD226" s="682"/>
      <c r="AE226" s="682"/>
      <c r="AF226" s="682"/>
      <c r="AG226" s="682"/>
      <c r="AH226" s="682"/>
      <c r="AI226" s="682"/>
      <c r="AJ226" s="682"/>
      <c r="AK226" s="682"/>
      <c r="AL226" s="682"/>
      <c r="AM226" s="682"/>
      <c r="AN226" s="682"/>
      <c r="AO226" s="682"/>
      <c r="AP226" s="682"/>
      <c r="AQ226" s="682"/>
      <c r="AR226" s="682"/>
      <c r="AS226" s="682"/>
      <c r="AT226" s="682"/>
      <c r="AU226" s="682"/>
      <c r="AV226" s="682"/>
      <c r="AW226" s="682"/>
      <c r="AX226" s="682"/>
      <c r="AY226" s="682"/>
      <c r="AZ226" s="682"/>
      <c r="BA226" s="682"/>
      <c r="BB226" s="682"/>
      <c r="BC226" s="682"/>
      <c r="BD226" s="682"/>
      <c r="BE226" s="682"/>
      <c r="BF226" s="682"/>
      <c r="BG226" s="682"/>
      <c r="BH226" s="682"/>
      <c r="BI226" s="682"/>
      <c r="BJ226" s="682"/>
      <c r="BK226" s="682"/>
      <c r="BL226" s="682"/>
      <c r="BM226" s="682"/>
      <c r="BN226" s="682"/>
      <c r="BO226" s="682"/>
      <c r="BP226" s="682"/>
      <c r="BQ226" s="682"/>
      <c r="BR226" s="682"/>
      <c r="BS226" s="682"/>
      <c r="BT226" s="682"/>
      <c r="BU226" s="682"/>
      <c r="BV226" s="682"/>
      <c r="BW226" s="682"/>
      <c r="BX226" s="682"/>
      <c r="BY226" s="682"/>
      <c r="BZ226" s="682"/>
      <c r="CA226" s="682"/>
      <c r="CB226" s="682"/>
      <c r="CC226" s="682"/>
      <c r="CD226" s="682"/>
      <c r="CE226" s="682"/>
      <c r="CF226" s="682"/>
      <c r="CG226" s="682"/>
      <c r="CH226" s="682"/>
      <c r="CI226" s="682"/>
      <c r="CJ226" s="682"/>
      <c r="CK226" s="682"/>
      <c r="CL226" s="682"/>
      <c r="CM226" s="682"/>
      <c r="CN226" s="682"/>
      <c r="CO226" s="682"/>
      <c r="CP226" s="682"/>
      <c r="CQ226" s="682"/>
      <c r="CR226" s="682"/>
      <c r="CS226" s="682"/>
      <c r="CT226" s="682"/>
      <c r="CU226" s="682"/>
      <c r="CV226" s="682"/>
      <c r="CW226" s="682"/>
      <c r="CX226" s="682"/>
      <c r="CY226" s="682"/>
      <c r="CZ226" s="682"/>
      <c r="DA226" s="682"/>
      <c r="DB226" s="682"/>
      <c r="DC226" s="682"/>
      <c r="DD226" s="682"/>
      <c r="DE226" s="682"/>
      <c r="DF226" s="682"/>
      <c r="DG226" s="682"/>
      <c r="DH226" s="682"/>
      <c r="DI226" s="682"/>
      <c r="DJ226" s="682"/>
      <c r="DK226" s="682"/>
      <c r="DL226" s="682"/>
      <c r="DM226" s="682"/>
      <c r="DN226" s="682"/>
      <c r="DO226" s="682"/>
      <c r="DP226" s="682"/>
      <c r="DQ226" s="682"/>
      <c r="DR226" s="682"/>
      <c r="DS226" s="682"/>
      <c r="DT226" s="682"/>
      <c r="DU226" s="682"/>
      <c r="DV226" s="682"/>
      <c r="DW226" s="682"/>
      <c r="DX226" s="682"/>
      <c r="DY226" s="682"/>
      <c r="DZ226" s="682"/>
      <c r="EA226" s="682"/>
      <c r="EB226" s="682"/>
      <c r="EC226" s="682"/>
      <c r="ED226" s="682"/>
      <c r="EE226" s="682"/>
      <c r="EF226" s="682"/>
      <c r="EG226" s="682"/>
      <c r="EH226" s="682"/>
      <c r="EI226" s="682"/>
      <c r="EJ226" s="682"/>
      <c r="EK226" s="682"/>
      <c r="EL226" s="682"/>
      <c r="EM226" s="682"/>
      <c r="EN226" s="682"/>
      <c r="EO226" s="682"/>
      <c r="EP226" s="682"/>
      <c r="EQ226" s="682"/>
      <c r="ER226" s="682"/>
      <c r="ES226" s="682"/>
      <c r="ET226" s="682"/>
      <c r="EU226" s="682"/>
      <c r="EV226" s="682"/>
      <c r="EW226" s="682"/>
      <c r="EX226" s="682"/>
      <c r="EY226" s="682"/>
      <c r="EZ226" s="682"/>
      <c r="FA226" s="682"/>
      <c r="FB226" s="682"/>
      <c r="FC226" s="682"/>
      <c r="FD226" s="682"/>
      <c r="FE226" s="682"/>
      <c r="FF226" s="682"/>
      <c r="FG226" s="682"/>
      <c r="FH226" s="682"/>
      <c r="FI226" s="682"/>
      <c r="FJ226" s="682"/>
      <c r="FK226" s="682"/>
      <c r="FL226" s="682"/>
      <c r="FM226" s="682"/>
      <c r="FN226" s="682"/>
      <c r="FO226" s="682"/>
      <c r="FP226" s="682"/>
      <c r="FQ226" s="682"/>
      <c r="FR226" s="682"/>
      <c r="FS226" s="682"/>
      <c r="FT226" s="682"/>
      <c r="FU226" s="682"/>
      <c r="FV226" s="682"/>
      <c r="FW226" s="682"/>
      <c r="FX226" s="682"/>
      <c r="FY226" s="682"/>
      <c r="FZ226" s="682"/>
      <c r="GA226" s="682"/>
      <c r="GB226" s="682"/>
      <c r="GC226" s="682"/>
      <c r="GD226" s="682"/>
      <c r="GE226" s="682"/>
      <c r="GF226" s="682"/>
      <c r="GG226" s="682"/>
      <c r="GH226" s="682"/>
      <c r="GI226" s="682"/>
      <c r="GJ226" s="682"/>
      <c r="GK226" s="682"/>
      <c r="GL226" s="682"/>
      <c r="GM226" s="682"/>
      <c r="GN226" s="682"/>
      <c r="GO226" s="682"/>
      <c r="GP226" s="682"/>
      <c r="GQ226" s="682"/>
      <c r="GR226" s="682"/>
      <c r="GS226" s="682"/>
      <c r="GT226" s="682"/>
      <c r="GU226" s="682"/>
      <c r="GV226" s="682"/>
      <c r="GW226" s="682"/>
      <c r="GX226" s="682"/>
      <c r="GY226" s="682"/>
      <c r="GZ226" s="682"/>
      <c r="HA226" s="682"/>
      <c r="HB226" s="682"/>
      <c r="HC226" s="682"/>
      <c r="HD226" s="682"/>
      <c r="HE226" s="682"/>
      <c r="HF226" s="682"/>
      <c r="HG226" s="682"/>
      <c r="HH226" s="682"/>
      <c r="HI226" s="682"/>
      <c r="HJ226" s="682"/>
      <c r="HK226" s="682"/>
      <c r="HL226" s="682"/>
      <c r="HM226" s="682"/>
      <c r="HN226" s="682"/>
      <c r="HO226" s="682"/>
      <c r="HP226" s="682"/>
      <c r="HQ226" s="682"/>
      <c r="HR226" s="682"/>
      <c r="HS226" s="682"/>
      <c r="HT226" s="682"/>
      <c r="HU226" s="682"/>
      <c r="HV226" s="682"/>
      <c r="HW226" s="682"/>
      <c r="HX226" s="682"/>
      <c r="HY226" s="682"/>
      <c r="HZ226" s="682"/>
      <c r="IA226" s="682"/>
      <c r="IB226" s="682"/>
      <c r="IC226" s="682"/>
      <c r="ID226" s="682"/>
      <c r="IE226" s="682"/>
      <c r="IF226" s="682"/>
      <c r="IG226" s="682"/>
      <c r="IH226" s="682"/>
      <c r="II226" s="682"/>
      <c r="IJ226" s="682"/>
      <c r="IK226" s="682"/>
      <c r="IL226" s="682"/>
      <c r="IM226" s="682"/>
      <c r="IN226" s="682"/>
      <c r="IO226" s="682"/>
      <c r="IP226" s="682"/>
      <c r="IQ226" s="682"/>
      <c r="IR226" s="682"/>
      <c r="IS226" s="682"/>
      <c r="IT226" s="682"/>
      <c r="IU226" s="682"/>
      <c r="IV226" s="682"/>
    </row>
    <row r="227" spans="1:256" s="1036" customFormat="1" ht="16.5" customHeight="1" x14ac:dyDescent="0.2">
      <c r="H227" s="682"/>
      <c r="I227" s="682"/>
      <c r="J227" s="682"/>
      <c r="K227" s="682"/>
      <c r="L227" s="682"/>
      <c r="M227" s="682"/>
      <c r="N227" s="682"/>
      <c r="O227" s="682"/>
      <c r="P227" s="682"/>
      <c r="Q227" s="682"/>
      <c r="R227" s="682"/>
      <c r="S227" s="682"/>
      <c r="T227" s="682"/>
      <c r="U227" s="682"/>
      <c r="V227" s="682"/>
      <c r="W227" s="682"/>
      <c r="X227" s="682"/>
      <c r="Y227" s="682"/>
      <c r="Z227" s="682"/>
      <c r="AA227" s="682"/>
      <c r="AB227" s="682"/>
      <c r="AC227" s="682"/>
      <c r="AD227" s="682"/>
      <c r="AE227" s="682"/>
      <c r="AF227" s="682"/>
      <c r="AG227" s="682"/>
      <c r="AH227" s="682"/>
      <c r="AI227" s="682"/>
      <c r="AJ227" s="682"/>
      <c r="AK227" s="682"/>
      <c r="AL227" s="682"/>
      <c r="AM227" s="682"/>
      <c r="AN227" s="682"/>
      <c r="AO227" s="682"/>
      <c r="AP227" s="682"/>
      <c r="AQ227" s="682"/>
      <c r="AR227" s="682"/>
      <c r="AS227" s="682"/>
      <c r="AT227" s="682"/>
      <c r="AU227" s="682"/>
      <c r="AV227" s="682"/>
      <c r="AW227" s="682"/>
      <c r="AX227" s="682"/>
      <c r="AY227" s="682"/>
      <c r="AZ227" s="682"/>
      <c r="BA227" s="682"/>
      <c r="BB227" s="682"/>
      <c r="BC227" s="682"/>
      <c r="BD227" s="682"/>
      <c r="BE227" s="682"/>
      <c r="BF227" s="682"/>
      <c r="BG227" s="682"/>
      <c r="BH227" s="682"/>
      <c r="BI227" s="682"/>
      <c r="BJ227" s="682"/>
      <c r="BK227" s="682"/>
      <c r="BL227" s="682"/>
      <c r="BM227" s="682"/>
      <c r="BN227" s="682"/>
      <c r="BO227" s="682"/>
      <c r="BP227" s="682"/>
      <c r="BQ227" s="682"/>
      <c r="BR227" s="682"/>
      <c r="BS227" s="682"/>
      <c r="BT227" s="682"/>
      <c r="BU227" s="682"/>
      <c r="BV227" s="682"/>
      <c r="BW227" s="682"/>
      <c r="BX227" s="682"/>
      <c r="BY227" s="682"/>
      <c r="BZ227" s="682"/>
      <c r="CA227" s="682"/>
      <c r="CB227" s="682"/>
      <c r="CC227" s="682"/>
      <c r="CD227" s="682"/>
      <c r="CE227" s="682"/>
      <c r="CF227" s="682"/>
      <c r="CG227" s="682"/>
      <c r="CH227" s="682"/>
      <c r="CI227" s="682"/>
      <c r="CJ227" s="682"/>
      <c r="CK227" s="682"/>
      <c r="CL227" s="682"/>
      <c r="CM227" s="682"/>
      <c r="CN227" s="682"/>
      <c r="CO227" s="682"/>
      <c r="CP227" s="682"/>
      <c r="CQ227" s="682"/>
      <c r="CR227" s="682"/>
      <c r="CS227" s="682"/>
      <c r="CT227" s="682"/>
      <c r="CU227" s="682"/>
      <c r="CV227" s="682"/>
      <c r="CW227" s="682"/>
      <c r="CX227" s="682"/>
      <c r="CY227" s="682"/>
      <c r="CZ227" s="682"/>
      <c r="DA227" s="682"/>
      <c r="DB227" s="682"/>
      <c r="DC227" s="682"/>
      <c r="DD227" s="682"/>
      <c r="DE227" s="682"/>
      <c r="DF227" s="682"/>
      <c r="DG227" s="682"/>
      <c r="DH227" s="682"/>
      <c r="DI227" s="682"/>
      <c r="DJ227" s="682"/>
      <c r="DK227" s="682"/>
      <c r="DL227" s="682"/>
      <c r="DM227" s="682"/>
      <c r="DN227" s="682"/>
      <c r="DO227" s="682"/>
      <c r="DP227" s="682"/>
      <c r="DQ227" s="682"/>
      <c r="DR227" s="682"/>
      <c r="DS227" s="682"/>
      <c r="DT227" s="682"/>
      <c r="DU227" s="682"/>
      <c r="DV227" s="682"/>
      <c r="DW227" s="682"/>
      <c r="DX227" s="682"/>
      <c r="DY227" s="682"/>
      <c r="DZ227" s="682"/>
      <c r="EA227" s="682"/>
      <c r="EB227" s="682"/>
      <c r="EC227" s="682"/>
      <c r="ED227" s="682"/>
      <c r="EE227" s="682"/>
      <c r="EF227" s="682"/>
      <c r="EG227" s="682"/>
      <c r="EH227" s="682"/>
      <c r="EI227" s="682"/>
      <c r="EJ227" s="682"/>
      <c r="EK227" s="682"/>
      <c r="EL227" s="682"/>
      <c r="EM227" s="682"/>
      <c r="EN227" s="682"/>
      <c r="EO227" s="682"/>
      <c r="EP227" s="682"/>
      <c r="EQ227" s="682"/>
      <c r="ER227" s="682"/>
      <c r="ES227" s="682"/>
      <c r="ET227" s="682"/>
      <c r="EU227" s="682"/>
      <c r="EV227" s="682"/>
      <c r="EW227" s="682"/>
      <c r="EX227" s="682"/>
      <c r="EY227" s="682"/>
      <c r="EZ227" s="682"/>
      <c r="FA227" s="682"/>
      <c r="FB227" s="682"/>
      <c r="FC227" s="682"/>
      <c r="FD227" s="682"/>
      <c r="FE227" s="682"/>
      <c r="FF227" s="682"/>
      <c r="FG227" s="682"/>
      <c r="FH227" s="682"/>
      <c r="FI227" s="682"/>
      <c r="FJ227" s="682"/>
      <c r="FK227" s="682"/>
      <c r="FL227" s="682"/>
      <c r="FM227" s="682"/>
      <c r="FN227" s="682"/>
      <c r="FO227" s="682"/>
      <c r="FP227" s="682"/>
      <c r="FQ227" s="682"/>
      <c r="FR227" s="682"/>
      <c r="FS227" s="682"/>
      <c r="FT227" s="682"/>
      <c r="FU227" s="682"/>
      <c r="FV227" s="682"/>
      <c r="FW227" s="682"/>
      <c r="FX227" s="682"/>
      <c r="FY227" s="682"/>
      <c r="FZ227" s="682"/>
      <c r="GA227" s="682"/>
      <c r="GB227" s="682"/>
      <c r="GC227" s="682"/>
      <c r="GD227" s="682"/>
      <c r="GE227" s="682"/>
      <c r="GF227" s="682"/>
      <c r="GG227" s="682"/>
      <c r="GH227" s="682"/>
      <c r="GI227" s="682"/>
      <c r="GJ227" s="682"/>
      <c r="GK227" s="682"/>
      <c r="GL227" s="682"/>
      <c r="GM227" s="682"/>
      <c r="GN227" s="682"/>
      <c r="GO227" s="682"/>
      <c r="GP227" s="682"/>
      <c r="GQ227" s="682"/>
      <c r="GR227" s="682"/>
      <c r="GS227" s="682"/>
      <c r="GT227" s="682"/>
      <c r="GU227" s="682"/>
      <c r="GV227" s="682"/>
      <c r="GW227" s="682"/>
      <c r="GX227" s="682"/>
      <c r="GY227" s="682"/>
      <c r="GZ227" s="682"/>
      <c r="HA227" s="682"/>
      <c r="HB227" s="682"/>
      <c r="HC227" s="682"/>
      <c r="HD227" s="682"/>
      <c r="HE227" s="682"/>
      <c r="HF227" s="682"/>
      <c r="HG227" s="682"/>
      <c r="HH227" s="682"/>
      <c r="HI227" s="682"/>
      <c r="HJ227" s="682"/>
      <c r="HK227" s="682"/>
      <c r="HL227" s="682"/>
      <c r="HM227" s="682"/>
      <c r="HN227" s="682"/>
      <c r="HO227" s="682"/>
      <c r="HP227" s="682"/>
      <c r="HQ227" s="682"/>
      <c r="HR227" s="682"/>
      <c r="HS227" s="682"/>
      <c r="HT227" s="682"/>
      <c r="HU227" s="682"/>
      <c r="HV227" s="682"/>
      <c r="HW227" s="682"/>
      <c r="HX227" s="682"/>
      <c r="HY227" s="682"/>
      <c r="HZ227" s="682"/>
      <c r="IA227" s="682"/>
      <c r="IB227" s="682"/>
      <c r="IC227" s="682"/>
      <c r="ID227" s="682"/>
      <c r="IE227" s="682"/>
      <c r="IF227" s="682"/>
      <c r="IG227" s="682"/>
      <c r="IH227" s="682"/>
      <c r="II227" s="682"/>
      <c r="IJ227" s="682"/>
      <c r="IK227" s="682"/>
      <c r="IL227" s="682"/>
      <c r="IM227" s="682"/>
      <c r="IN227" s="682"/>
      <c r="IO227" s="682"/>
      <c r="IP227" s="682"/>
      <c r="IQ227" s="682"/>
      <c r="IR227" s="682"/>
      <c r="IS227" s="682"/>
      <c r="IT227" s="682"/>
      <c r="IU227" s="682"/>
      <c r="IV227" s="682"/>
    </row>
    <row r="228" spans="1:256" s="1036" customFormat="1" ht="16.5" customHeight="1" x14ac:dyDescent="0.2">
      <c r="H228" s="682"/>
      <c r="I228" s="682"/>
      <c r="J228" s="682"/>
      <c r="K228" s="682"/>
      <c r="L228" s="682"/>
      <c r="M228" s="682"/>
      <c r="N228" s="682"/>
      <c r="O228" s="682"/>
      <c r="P228" s="682"/>
      <c r="Q228" s="682"/>
      <c r="R228" s="682"/>
      <c r="S228" s="682"/>
      <c r="T228" s="682"/>
      <c r="U228" s="682"/>
      <c r="V228" s="682"/>
      <c r="W228" s="682"/>
      <c r="X228" s="682"/>
      <c r="Y228" s="682"/>
      <c r="Z228" s="682"/>
      <c r="AA228" s="682"/>
      <c r="AB228" s="682"/>
      <c r="AC228" s="682"/>
      <c r="AD228" s="682"/>
      <c r="AE228" s="682"/>
      <c r="AF228" s="682"/>
      <c r="AG228" s="682"/>
      <c r="AH228" s="682"/>
      <c r="AI228" s="682"/>
      <c r="AJ228" s="682"/>
      <c r="AK228" s="682"/>
      <c r="AL228" s="682"/>
      <c r="AM228" s="682"/>
      <c r="AN228" s="682"/>
      <c r="AO228" s="682"/>
      <c r="AP228" s="682"/>
      <c r="AQ228" s="682"/>
      <c r="AR228" s="682"/>
      <c r="AS228" s="682"/>
      <c r="AT228" s="682"/>
      <c r="AU228" s="682"/>
      <c r="AV228" s="682"/>
      <c r="AW228" s="682"/>
      <c r="AX228" s="682"/>
      <c r="AY228" s="682"/>
      <c r="AZ228" s="682"/>
      <c r="BA228" s="682"/>
      <c r="BB228" s="682"/>
      <c r="BC228" s="682"/>
      <c r="BD228" s="682"/>
      <c r="BE228" s="682"/>
      <c r="BF228" s="682"/>
      <c r="BG228" s="682"/>
      <c r="BH228" s="682"/>
      <c r="BI228" s="682"/>
      <c r="BJ228" s="682"/>
      <c r="BK228" s="682"/>
      <c r="BL228" s="682"/>
      <c r="BM228" s="682"/>
      <c r="BN228" s="682"/>
      <c r="BO228" s="682"/>
      <c r="BP228" s="682"/>
      <c r="BQ228" s="682"/>
      <c r="BR228" s="682"/>
      <c r="BS228" s="682"/>
      <c r="BT228" s="682"/>
      <c r="BU228" s="682"/>
      <c r="BV228" s="682"/>
      <c r="BW228" s="682"/>
      <c r="BX228" s="682"/>
      <c r="BY228" s="682"/>
      <c r="BZ228" s="682"/>
      <c r="CA228" s="682"/>
      <c r="CB228" s="682"/>
      <c r="CC228" s="682"/>
      <c r="CD228" s="682"/>
      <c r="CE228" s="682"/>
      <c r="CF228" s="682"/>
      <c r="CG228" s="682"/>
      <c r="CH228" s="682"/>
      <c r="CI228" s="682"/>
      <c r="CJ228" s="682"/>
      <c r="CK228" s="682"/>
      <c r="CL228" s="682"/>
      <c r="CM228" s="682"/>
      <c r="CN228" s="682"/>
      <c r="CO228" s="682"/>
      <c r="CP228" s="682"/>
      <c r="CQ228" s="682"/>
      <c r="CR228" s="682"/>
      <c r="CS228" s="682"/>
      <c r="CT228" s="682"/>
      <c r="CU228" s="682"/>
      <c r="CV228" s="682"/>
      <c r="CW228" s="682"/>
      <c r="CX228" s="682"/>
      <c r="CY228" s="682"/>
      <c r="CZ228" s="682"/>
      <c r="DA228" s="682"/>
      <c r="DB228" s="682"/>
      <c r="DC228" s="682"/>
      <c r="DD228" s="682"/>
      <c r="DE228" s="682"/>
      <c r="DF228" s="682"/>
      <c r="DG228" s="682"/>
      <c r="DH228" s="682"/>
      <c r="DI228" s="682"/>
      <c r="DJ228" s="682"/>
      <c r="DK228" s="682"/>
      <c r="DL228" s="682"/>
      <c r="DM228" s="682"/>
      <c r="DN228" s="682"/>
      <c r="DO228" s="682"/>
      <c r="DP228" s="682"/>
      <c r="DQ228" s="682"/>
      <c r="DR228" s="682"/>
      <c r="DS228" s="682"/>
      <c r="DT228" s="682"/>
      <c r="DU228" s="682"/>
      <c r="DV228" s="682"/>
      <c r="DW228" s="682"/>
      <c r="DX228" s="682"/>
      <c r="DY228" s="682"/>
      <c r="DZ228" s="682"/>
      <c r="EA228" s="682"/>
      <c r="EB228" s="682"/>
      <c r="EC228" s="682"/>
      <c r="ED228" s="682"/>
      <c r="EE228" s="682"/>
      <c r="EF228" s="682"/>
      <c r="EG228" s="682"/>
      <c r="EH228" s="682"/>
      <c r="EI228" s="682"/>
      <c r="EJ228" s="682"/>
      <c r="EK228" s="682"/>
      <c r="EL228" s="682"/>
      <c r="EM228" s="682"/>
      <c r="EN228" s="682"/>
      <c r="EO228" s="682"/>
      <c r="EP228" s="682"/>
      <c r="EQ228" s="682"/>
      <c r="ER228" s="682"/>
      <c r="ES228" s="682"/>
      <c r="ET228" s="682"/>
      <c r="EU228" s="682"/>
      <c r="EV228" s="682"/>
      <c r="EW228" s="682"/>
      <c r="EX228" s="682"/>
      <c r="EY228" s="682"/>
      <c r="EZ228" s="682"/>
      <c r="FA228" s="682"/>
      <c r="FB228" s="682"/>
      <c r="FC228" s="682"/>
      <c r="FD228" s="682"/>
      <c r="FE228" s="682"/>
      <c r="FF228" s="682"/>
      <c r="FG228" s="682"/>
      <c r="FH228" s="682"/>
      <c r="FI228" s="682"/>
      <c r="FJ228" s="682"/>
      <c r="FK228" s="682"/>
      <c r="FL228" s="682"/>
      <c r="FM228" s="682"/>
      <c r="FN228" s="682"/>
      <c r="FO228" s="682"/>
      <c r="FP228" s="682"/>
      <c r="FQ228" s="682"/>
      <c r="FR228" s="682"/>
      <c r="FS228" s="682"/>
      <c r="FT228" s="682"/>
      <c r="FU228" s="682"/>
      <c r="FV228" s="682"/>
      <c r="FW228" s="682"/>
      <c r="FX228" s="682"/>
      <c r="FY228" s="682"/>
      <c r="FZ228" s="682"/>
      <c r="GA228" s="682"/>
      <c r="GB228" s="682"/>
      <c r="GC228" s="682"/>
      <c r="GD228" s="682"/>
      <c r="GE228" s="682"/>
      <c r="GF228" s="682"/>
      <c r="GG228" s="682"/>
      <c r="GH228" s="682"/>
      <c r="GI228" s="682"/>
      <c r="GJ228" s="682"/>
      <c r="GK228" s="682"/>
      <c r="GL228" s="682"/>
      <c r="GM228" s="682"/>
      <c r="GN228" s="682"/>
      <c r="GO228" s="682"/>
      <c r="GP228" s="682"/>
      <c r="GQ228" s="682"/>
      <c r="GR228" s="682"/>
      <c r="GS228" s="682"/>
      <c r="GT228" s="682"/>
      <c r="GU228" s="682"/>
      <c r="GV228" s="682"/>
      <c r="GW228" s="682"/>
      <c r="GX228" s="682"/>
      <c r="GY228" s="682"/>
      <c r="GZ228" s="682"/>
      <c r="HA228" s="682"/>
      <c r="HB228" s="682"/>
      <c r="HC228" s="682"/>
      <c r="HD228" s="682"/>
      <c r="HE228" s="682"/>
      <c r="HF228" s="682"/>
      <c r="HG228" s="682"/>
      <c r="HH228" s="682"/>
      <c r="HI228" s="682"/>
      <c r="HJ228" s="682"/>
      <c r="HK228" s="682"/>
      <c r="HL228" s="682"/>
      <c r="HM228" s="682"/>
      <c r="HN228" s="682"/>
      <c r="HO228" s="682"/>
      <c r="HP228" s="682"/>
      <c r="HQ228" s="682"/>
      <c r="HR228" s="682"/>
      <c r="HS228" s="682"/>
      <c r="HT228" s="682"/>
      <c r="HU228" s="682"/>
      <c r="HV228" s="682"/>
      <c r="HW228" s="682"/>
      <c r="HX228" s="682"/>
      <c r="HY228" s="682"/>
      <c r="HZ228" s="682"/>
      <c r="IA228" s="682"/>
      <c r="IB228" s="682"/>
      <c r="IC228" s="682"/>
      <c r="ID228" s="682"/>
      <c r="IE228" s="682"/>
      <c r="IF228" s="682"/>
      <c r="IG228" s="682"/>
      <c r="IH228" s="682"/>
      <c r="II228" s="682"/>
      <c r="IJ228" s="682"/>
      <c r="IK228" s="682"/>
      <c r="IL228" s="682"/>
      <c r="IM228" s="682"/>
      <c r="IN228" s="682"/>
      <c r="IO228" s="682"/>
      <c r="IP228" s="682"/>
      <c r="IQ228" s="682"/>
      <c r="IR228" s="682"/>
      <c r="IS228" s="682"/>
      <c r="IT228" s="682"/>
      <c r="IU228" s="682"/>
      <c r="IV228" s="682"/>
    </row>
    <row r="229" spans="1:256" s="1036" customFormat="1" ht="16.5" customHeight="1" x14ac:dyDescent="0.2">
      <c r="H229" s="682"/>
      <c r="I229" s="682"/>
      <c r="J229" s="682"/>
      <c r="K229" s="682"/>
      <c r="L229" s="682"/>
      <c r="M229" s="682"/>
      <c r="N229" s="682"/>
      <c r="O229" s="682"/>
      <c r="P229" s="682"/>
      <c r="Q229" s="682"/>
      <c r="R229" s="682"/>
      <c r="S229" s="682"/>
      <c r="T229" s="682"/>
      <c r="U229" s="682"/>
      <c r="V229" s="682"/>
      <c r="W229" s="682"/>
      <c r="X229" s="682"/>
      <c r="Y229" s="682"/>
      <c r="Z229" s="682"/>
      <c r="AA229" s="682"/>
      <c r="AB229" s="682"/>
      <c r="AC229" s="682"/>
      <c r="AD229" s="682"/>
      <c r="AE229" s="682"/>
      <c r="AF229" s="682"/>
      <c r="AG229" s="682"/>
      <c r="AH229" s="682"/>
      <c r="AI229" s="682"/>
      <c r="AJ229" s="682"/>
      <c r="AK229" s="682"/>
      <c r="AL229" s="682"/>
      <c r="AM229" s="682"/>
      <c r="AN229" s="682"/>
      <c r="AO229" s="682"/>
      <c r="AP229" s="682"/>
      <c r="AQ229" s="682"/>
      <c r="AR229" s="682"/>
      <c r="AS229" s="682"/>
      <c r="AT229" s="682"/>
      <c r="AU229" s="682"/>
      <c r="AV229" s="682"/>
      <c r="AW229" s="682"/>
      <c r="AX229" s="682"/>
      <c r="AY229" s="682"/>
      <c r="AZ229" s="682"/>
      <c r="BA229" s="682"/>
      <c r="BB229" s="682"/>
      <c r="BC229" s="682"/>
      <c r="BD229" s="682"/>
      <c r="BE229" s="682"/>
      <c r="BF229" s="682"/>
      <c r="BG229" s="682"/>
      <c r="BH229" s="682"/>
      <c r="BI229" s="682"/>
      <c r="BJ229" s="682"/>
      <c r="BK229" s="682"/>
      <c r="BL229" s="682"/>
      <c r="BM229" s="682"/>
      <c r="BN229" s="682"/>
      <c r="BO229" s="682"/>
      <c r="BP229" s="682"/>
      <c r="BQ229" s="682"/>
      <c r="BR229" s="682"/>
      <c r="BS229" s="682"/>
      <c r="BT229" s="682"/>
      <c r="BU229" s="682"/>
      <c r="BV229" s="682"/>
      <c r="BW229" s="682"/>
      <c r="BX229" s="682"/>
      <c r="BY229" s="682"/>
      <c r="BZ229" s="682"/>
      <c r="CA229" s="682"/>
      <c r="CB229" s="682"/>
      <c r="CC229" s="682"/>
      <c r="CD229" s="682"/>
      <c r="CE229" s="682"/>
      <c r="CF229" s="682"/>
      <c r="CG229" s="682"/>
      <c r="CH229" s="682"/>
      <c r="CI229" s="682"/>
      <c r="CJ229" s="682"/>
      <c r="CK229" s="682"/>
      <c r="CL229" s="682"/>
      <c r="CM229" s="682"/>
      <c r="CN229" s="682"/>
      <c r="CO229" s="682"/>
      <c r="CP229" s="682"/>
      <c r="CQ229" s="682"/>
      <c r="CR229" s="682"/>
      <c r="CS229" s="682"/>
      <c r="CT229" s="682"/>
      <c r="CU229" s="682"/>
      <c r="CV229" s="682"/>
      <c r="CW229" s="682"/>
      <c r="CX229" s="682"/>
      <c r="CY229" s="682"/>
      <c r="CZ229" s="682"/>
      <c r="DA229" s="682"/>
      <c r="DB229" s="682"/>
      <c r="DC229" s="682"/>
      <c r="DD229" s="682"/>
      <c r="DE229" s="682"/>
      <c r="DF229" s="682"/>
      <c r="DG229" s="682"/>
      <c r="DH229" s="682"/>
      <c r="DI229" s="682"/>
      <c r="DJ229" s="682"/>
      <c r="DK229" s="682"/>
      <c r="DL229" s="682"/>
      <c r="DM229" s="682"/>
      <c r="DN229" s="682"/>
      <c r="DO229" s="682"/>
      <c r="DP229" s="682"/>
      <c r="DQ229" s="682"/>
      <c r="DR229" s="682"/>
      <c r="DS229" s="682"/>
      <c r="DT229" s="682"/>
      <c r="DU229" s="682"/>
      <c r="DV229" s="682"/>
      <c r="DW229" s="682"/>
      <c r="DX229" s="682"/>
      <c r="DY229" s="682"/>
      <c r="DZ229" s="682"/>
      <c r="EA229" s="682"/>
      <c r="EB229" s="682"/>
      <c r="EC229" s="682"/>
      <c r="ED229" s="682"/>
      <c r="EE229" s="682"/>
      <c r="EF229" s="682"/>
      <c r="EG229" s="682"/>
      <c r="EH229" s="682"/>
      <c r="EI229" s="682"/>
      <c r="EJ229" s="682"/>
      <c r="EK229" s="682"/>
      <c r="EL229" s="682"/>
      <c r="EM229" s="682"/>
      <c r="EN229" s="682"/>
      <c r="EO229" s="682"/>
      <c r="EP229" s="682"/>
      <c r="EQ229" s="682"/>
      <c r="ER229" s="682"/>
      <c r="ES229" s="682"/>
      <c r="ET229" s="682"/>
      <c r="EU229" s="682"/>
      <c r="EV229" s="682"/>
      <c r="EW229" s="682"/>
      <c r="EX229" s="682"/>
      <c r="EY229" s="682"/>
      <c r="EZ229" s="682"/>
      <c r="FA229" s="682"/>
      <c r="FB229" s="682"/>
      <c r="FC229" s="682"/>
      <c r="FD229" s="682"/>
      <c r="FE229" s="682"/>
      <c r="FF229" s="682"/>
      <c r="FG229" s="682"/>
      <c r="FH229" s="682"/>
      <c r="FI229" s="682"/>
      <c r="FJ229" s="682"/>
      <c r="FK229" s="682"/>
      <c r="FL229" s="682"/>
      <c r="FM229" s="682"/>
      <c r="FN229" s="682"/>
      <c r="FO229" s="682"/>
      <c r="FP229" s="682"/>
      <c r="FQ229" s="682"/>
      <c r="FR229" s="682"/>
      <c r="FS229" s="682"/>
      <c r="FT229" s="682"/>
      <c r="FU229" s="682"/>
      <c r="FV229" s="682"/>
      <c r="FW229" s="682"/>
      <c r="FX229" s="682"/>
      <c r="FY229" s="682"/>
      <c r="FZ229" s="682"/>
      <c r="GA229" s="682"/>
      <c r="GB229" s="682"/>
      <c r="GC229" s="682"/>
      <c r="GD229" s="682"/>
      <c r="GE229" s="682"/>
      <c r="GF229" s="682"/>
      <c r="GG229" s="682"/>
      <c r="GH229" s="682"/>
      <c r="GI229" s="682"/>
      <c r="GJ229" s="682"/>
      <c r="GK229" s="682"/>
      <c r="GL229" s="682"/>
      <c r="GM229" s="682"/>
      <c r="GN229" s="682"/>
      <c r="GO229" s="682"/>
      <c r="GP229" s="682"/>
      <c r="GQ229" s="682"/>
      <c r="GR229" s="682"/>
      <c r="GS229" s="682"/>
      <c r="GT229" s="682"/>
      <c r="GU229" s="682"/>
      <c r="GV229" s="682"/>
      <c r="GW229" s="682"/>
      <c r="GX229" s="682"/>
      <c r="GY229" s="682"/>
      <c r="GZ229" s="682"/>
      <c r="HA229" s="682"/>
      <c r="HB229" s="682"/>
      <c r="HC229" s="682"/>
      <c r="HD229" s="682"/>
      <c r="HE229" s="682"/>
      <c r="HF229" s="682"/>
      <c r="HG229" s="682"/>
      <c r="HH229" s="682"/>
      <c r="HI229" s="682"/>
      <c r="HJ229" s="682"/>
      <c r="HK229" s="682"/>
      <c r="HL229" s="682"/>
      <c r="HM229" s="682"/>
      <c r="HN229" s="682"/>
      <c r="HO229" s="682"/>
      <c r="HP229" s="682"/>
      <c r="HQ229" s="682"/>
      <c r="HR229" s="682"/>
      <c r="HS229" s="682"/>
      <c r="HT229" s="682"/>
      <c r="HU229" s="682"/>
      <c r="HV229" s="682"/>
      <c r="HW229" s="682"/>
      <c r="HX229" s="682"/>
      <c r="HY229" s="682"/>
      <c r="HZ229" s="682"/>
      <c r="IA229" s="682"/>
      <c r="IB229" s="682"/>
      <c r="IC229" s="682"/>
      <c r="ID229" s="682"/>
      <c r="IE229" s="682"/>
      <c r="IF229" s="682"/>
      <c r="IG229" s="682"/>
      <c r="IH229" s="682"/>
      <c r="II229" s="682"/>
      <c r="IJ229" s="682"/>
      <c r="IK229" s="682"/>
      <c r="IL229" s="682"/>
      <c r="IM229" s="682"/>
      <c r="IN229" s="682"/>
      <c r="IO229" s="682"/>
      <c r="IP229" s="682"/>
      <c r="IQ229" s="682"/>
      <c r="IR229" s="682"/>
      <c r="IS229" s="682"/>
      <c r="IT229" s="682"/>
      <c r="IU229" s="682"/>
      <c r="IV229" s="682"/>
    </row>
    <row r="230" spans="1:256" s="1036" customFormat="1" ht="16.5" customHeight="1" x14ac:dyDescent="0.2">
      <c r="H230" s="682"/>
      <c r="I230" s="682"/>
      <c r="J230" s="682"/>
      <c r="K230" s="682"/>
      <c r="L230" s="682"/>
      <c r="M230" s="682"/>
      <c r="N230" s="682"/>
      <c r="O230" s="682"/>
      <c r="P230" s="682"/>
      <c r="Q230" s="682"/>
      <c r="R230" s="682"/>
      <c r="S230" s="682"/>
      <c r="T230" s="682"/>
      <c r="U230" s="682"/>
      <c r="V230" s="682"/>
      <c r="W230" s="682"/>
      <c r="X230" s="682"/>
      <c r="Y230" s="682"/>
      <c r="Z230" s="682"/>
      <c r="AA230" s="682"/>
      <c r="AB230" s="682"/>
      <c r="AC230" s="682"/>
      <c r="AD230" s="682"/>
      <c r="AE230" s="682"/>
      <c r="AF230" s="682"/>
      <c r="AG230" s="682"/>
      <c r="AH230" s="682"/>
      <c r="AI230" s="682"/>
      <c r="AJ230" s="682"/>
      <c r="AK230" s="682"/>
      <c r="AL230" s="682"/>
      <c r="AM230" s="682"/>
      <c r="AN230" s="682"/>
      <c r="AO230" s="682"/>
      <c r="AP230" s="682"/>
      <c r="AQ230" s="682"/>
      <c r="AR230" s="682"/>
      <c r="AS230" s="682"/>
      <c r="AT230" s="682"/>
      <c r="AU230" s="682"/>
      <c r="AV230" s="682"/>
      <c r="AW230" s="682"/>
      <c r="AX230" s="682"/>
      <c r="AY230" s="682"/>
      <c r="AZ230" s="682"/>
      <c r="BA230" s="682"/>
      <c r="BB230" s="682"/>
      <c r="BC230" s="682"/>
      <c r="BD230" s="682"/>
      <c r="BE230" s="682"/>
      <c r="BF230" s="682"/>
      <c r="BG230" s="682"/>
      <c r="BH230" s="682"/>
      <c r="BI230" s="682"/>
      <c r="BJ230" s="682"/>
      <c r="BK230" s="682"/>
      <c r="BL230" s="682"/>
      <c r="BM230" s="682"/>
      <c r="BN230" s="682"/>
      <c r="BO230" s="682"/>
      <c r="BP230" s="682"/>
      <c r="BQ230" s="682"/>
      <c r="BR230" s="682"/>
      <c r="BS230" s="682"/>
      <c r="BT230" s="682"/>
      <c r="BU230" s="682"/>
      <c r="BV230" s="682"/>
      <c r="BW230" s="682"/>
      <c r="BX230" s="682"/>
      <c r="BY230" s="682"/>
      <c r="BZ230" s="682"/>
      <c r="CA230" s="682"/>
      <c r="CB230" s="682"/>
      <c r="CC230" s="682"/>
      <c r="CD230" s="682"/>
      <c r="CE230" s="682"/>
      <c r="CF230" s="682"/>
      <c r="CG230" s="682"/>
      <c r="CH230" s="682"/>
      <c r="CI230" s="682"/>
      <c r="CJ230" s="682"/>
      <c r="CK230" s="682"/>
      <c r="CL230" s="682"/>
      <c r="CM230" s="682"/>
      <c r="CN230" s="682"/>
      <c r="CO230" s="682"/>
      <c r="CP230" s="682"/>
      <c r="CQ230" s="682"/>
      <c r="CR230" s="682"/>
      <c r="CS230" s="682"/>
      <c r="CT230" s="682"/>
      <c r="CU230" s="682"/>
      <c r="CV230" s="682"/>
      <c r="CW230" s="682"/>
      <c r="CX230" s="682"/>
      <c r="CY230" s="682"/>
      <c r="CZ230" s="682"/>
      <c r="DA230" s="682"/>
      <c r="DB230" s="682"/>
      <c r="DC230" s="682"/>
      <c r="DD230" s="682"/>
      <c r="DE230" s="682"/>
      <c r="DF230" s="682"/>
      <c r="DG230" s="682"/>
      <c r="DH230" s="682"/>
      <c r="DI230" s="682"/>
      <c r="DJ230" s="682"/>
      <c r="DK230" s="682"/>
      <c r="DL230" s="682"/>
      <c r="DM230" s="682"/>
      <c r="DN230" s="682"/>
      <c r="DO230" s="682"/>
      <c r="DP230" s="682"/>
      <c r="DQ230" s="682"/>
      <c r="DR230" s="682"/>
      <c r="DS230" s="682"/>
      <c r="DT230" s="682"/>
      <c r="DU230" s="682"/>
      <c r="DV230" s="682"/>
      <c r="DW230" s="682"/>
      <c r="DX230" s="682"/>
      <c r="DY230" s="682"/>
      <c r="DZ230" s="682"/>
      <c r="EA230" s="682"/>
      <c r="EB230" s="682"/>
      <c r="EC230" s="682"/>
      <c r="ED230" s="682"/>
      <c r="EE230" s="682"/>
      <c r="EF230" s="682"/>
      <c r="EG230" s="682"/>
      <c r="EH230" s="682"/>
      <c r="EI230" s="682"/>
      <c r="EJ230" s="682"/>
      <c r="EK230" s="682"/>
      <c r="EL230" s="682"/>
      <c r="EM230" s="682"/>
      <c r="EN230" s="682"/>
      <c r="EO230" s="682"/>
      <c r="EP230" s="682"/>
      <c r="EQ230" s="682"/>
      <c r="ER230" s="682"/>
      <c r="ES230" s="682"/>
      <c r="ET230" s="682"/>
      <c r="EU230" s="682"/>
      <c r="EV230" s="682"/>
      <c r="EW230" s="682"/>
      <c r="EX230" s="682"/>
      <c r="EY230" s="682"/>
      <c r="EZ230" s="682"/>
      <c r="FA230" s="682"/>
      <c r="FB230" s="682"/>
      <c r="FC230" s="682"/>
      <c r="FD230" s="682"/>
      <c r="FE230" s="682"/>
      <c r="FF230" s="682"/>
      <c r="FG230" s="682"/>
      <c r="FH230" s="682"/>
      <c r="FI230" s="682"/>
      <c r="FJ230" s="682"/>
      <c r="FK230" s="682"/>
      <c r="FL230" s="682"/>
      <c r="FM230" s="682"/>
      <c r="FN230" s="682"/>
      <c r="FO230" s="682"/>
      <c r="FP230" s="682"/>
      <c r="FQ230" s="682"/>
      <c r="FR230" s="682"/>
      <c r="FS230" s="682"/>
      <c r="FT230" s="682"/>
      <c r="FU230" s="682"/>
      <c r="FV230" s="682"/>
      <c r="FW230" s="682"/>
      <c r="FX230" s="682"/>
      <c r="FY230" s="682"/>
      <c r="FZ230" s="682"/>
      <c r="GA230" s="682"/>
      <c r="GB230" s="682"/>
      <c r="GC230" s="682"/>
      <c r="GD230" s="682"/>
      <c r="GE230" s="682"/>
      <c r="GF230" s="682"/>
      <c r="GG230" s="682"/>
      <c r="GH230" s="682"/>
      <c r="GI230" s="682"/>
      <c r="GJ230" s="682"/>
      <c r="GK230" s="682"/>
      <c r="GL230" s="682"/>
      <c r="GM230" s="682"/>
      <c r="GN230" s="682"/>
      <c r="GO230" s="682"/>
      <c r="GP230" s="682"/>
      <c r="GQ230" s="682"/>
      <c r="GR230" s="682"/>
      <c r="GS230" s="682"/>
      <c r="GT230" s="682"/>
      <c r="GU230" s="682"/>
      <c r="GV230" s="682"/>
      <c r="GW230" s="682"/>
      <c r="GX230" s="682"/>
      <c r="GY230" s="682"/>
      <c r="GZ230" s="682"/>
      <c r="HA230" s="682"/>
      <c r="HB230" s="682"/>
      <c r="HC230" s="682"/>
      <c r="HD230" s="682"/>
      <c r="HE230" s="682"/>
      <c r="HF230" s="682"/>
      <c r="HG230" s="682"/>
      <c r="HH230" s="682"/>
      <c r="HI230" s="682"/>
      <c r="HJ230" s="682"/>
      <c r="HK230" s="682"/>
      <c r="HL230" s="682"/>
      <c r="HM230" s="682"/>
      <c r="HN230" s="682"/>
      <c r="HO230" s="682"/>
      <c r="HP230" s="682"/>
      <c r="HQ230" s="682"/>
      <c r="HR230" s="682"/>
      <c r="HS230" s="682"/>
      <c r="HT230" s="682"/>
      <c r="HU230" s="682"/>
      <c r="HV230" s="682"/>
      <c r="HW230" s="682"/>
      <c r="HX230" s="682"/>
      <c r="HY230" s="682"/>
      <c r="HZ230" s="682"/>
      <c r="IA230" s="682"/>
      <c r="IB230" s="682"/>
      <c r="IC230" s="682"/>
      <c r="ID230" s="682"/>
      <c r="IE230" s="682"/>
      <c r="IF230" s="682"/>
      <c r="IG230" s="682"/>
      <c r="IH230" s="682"/>
      <c r="II230" s="682"/>
      <c r="IJ230" s="682"/>
      <c r="IK230" s="682"/>
      <c r="IL230" s="682"/>
      <c r="IM230" s="682"/>
      <c r="IN230" s="682"/>
      <c r="IO230" s="682"/>
      <c r="IP230" s="682"/>
      <c r="IQ230" s="682"/>
      <c r="IR230" s="682"/>
      <c r="IS230" s="682"/>
      <c r="IT230" s="682"/>
      <c r="IU230" s="682"/>
      <c r="IV230" s="682"/>
    </row>
    <row r="231" spans="1:256" s="1036" customFormat="1" ht="16.5" customHeight="1" x14ac:dyDescent="0.2">
      <c r="H231" s="682"/>
      <c r="I231" s="682"/>
      <c r="J231" s="682"/>
      <c r="K231" s="682"/>
      <c r="L231" s="682"/>
      <c r="M231" s="682"/>
      <c r="N231" s="682"/>
      <c r="O231" s="682"/>
      <c r="P231" s="682"/>
      <c r="Q231" s="682"/>
      <c r="R231" s="682"/>
      <c r="S231" s="682"/>
      <c r="T231" s="682"/>
      <c r="U231" s="682"/>
      <c r="V231" s="682"/>
      <c r="W231" s="682"/>
      <c r="X231" s="682"/>
      <c r="Y231" s="682"/>
      <c r="Z231" s="682"/>
      <c r="AA231" s="682"/>
      <c r="AB231" s="682"/>
      <c r="AC231" s="682"/>
      <c r="AD231" s="682"/>
      <c r="AE231" s="682"/>
      <c r="AF231" s="682"/>
      <c r="AG231" s="682"/>
      <c r="AH231" s="682"/>
      <c r="AI231" s="682"/>
      <c r="AJ231" s="682"/>
      <c r="AK231" s="682"/>
      <c r="AL231" s="682"/>
      <c r="AM231" s="682"/>
      <c r="AN231" s="682"/>
      <c r="AO231" s="682"/>
      <c r="AP231" s="682"/>
      <c r="AQ231" s="682"/>
      <c r="AR231" s="682"/>
      <c r="AS231" s="682"/>
      <c r="AT231" s="682"/>
      <c r="AU231" s="682"/>
      <c r="AV231" s="682"/>
      <c r="AW231" s="682"/>
      <c r="AX231" s="682"/>
      <c r="AY231" s="682"/>
      <c r="AZ231" s="682"/>
      <c r="BA231" s="682"/>
      <c r="BB231" s="682"/>
      <c r="BC231" s="682"/>
      <c r="BD231" s="682"/>
      <c r="BE231" s="682"/>
      <c r="BF231" s="682"/>
      <c r="BG231" s="682"/>
      <c r="BH231" s="682"/>
      <c r="BI231" s="682"/>
      <c r="BJ231" s="682"/>
      <c r="BK231" s="682"/>
      <c r="BL231" s="682"/>
      <c r="BM231" s="682"/>
      <c r="BN231" s="682"/>
      <c r="BO231" s="682"/>
      <c r="BP231" s="682"/>
      <c r="BQ231" s="682"/>
      <c r="BR231" s="682"/>
      <c r="BS231" s="682"/>
      <c r="BT231" s="682"/>
      <c r="BU231" s="682"/>
      <c r="BV231" s="682"/>
      <c r="BW231" s="682"/>
      <c r="BX231" s="682"/>
      <c r="BY231" s="682"/>
      <c r="BZ231" s="682"/>
      <c r="CA231" s="682"/>
      <c r="CB231" s="682"/>
      <c r="CC231" s="682"/>
      <c r="CD231" s="682"/>
      <c r="CE231" s="682"/>
      <c r="CF231" s="682"/>
      <c r="CG231" s="682"/>
      <c r="CH231" s="682"/>
      <c r="CI231" s="682"/>
      <c r="CJ231" s="682"/>
      <c r="CK231" s="682"/>
      <c r="CL231" s="682"/>
      <c r="CM231" s="682"/>
      <c r="CN231" s="682"/>
      <c r="CO231" s="682"/>
      <c r="CP231" s="682"/>
      <c r="CQ231" s="682"/>
      <c r="CR231" s="682"/>
      <c r="CS231" s="682"/>
      <c r="CT231" s="682"/>
      <c r="CU231" s="682"/>
      <c r="CV231" s="682"/>
      <c r="CW231" s="682"/>
      <c r="CX231" s="682"/>
      <c r="CY231" s="682"/>
      <c r="CZ231" s="682"/>
      <c r="DA231" s="682"/>
      <c r="DB231" s="682"/>
      <c r="DC231" s="682"/>
      <c r="DD231" s="682"/>
      <c r="DE231" s="682"/>
      <c r="DF231" s="682"/>
      <c r="DG231" s="682"/>
      <c r="DH231" s="682"/>
      <c r="DI231" s="682"/>
      <c r="DJ231" s="682"/>
      <c r="DK231" s="682"/>
      <c r="DL231" s="682"/>
      <c r="DM231" s="682"/>
      <c r="DN231" s="682"/>
      <c r="DO231" s="682"/>
      <c r="DP231" s="682"/>
      <c r="DQ231" s="682"/>
      <c r="DR231" s="682"/>
      <c r="DS231" s="682"/>
      <c r="DT231" s="682"/>
      <c r="DU231" s="682"/>
      <c r="DV231" s="682"/>
      <c r="DW231" s="682"/>
      <c r="DX231" s="682"/>
      <c r="DY231" s="682"/>
      <c r="DZ231" s="682"/>
      <c r="EA231" s="682"/>
      <c r="EB231" s="682"/>
      <c r="EC231" s="682"/>
      <c r="ED231" s="682"/>
      <c r="EE231" s="682"/>
      <c r="EF231" s="682"/>
      <c r="EG231" s="682"/>
      <c r="EH231" s="682"/>
      <c r="EI231" s="682"/>
      <c r="EJ231" s="682"/>
      <c r="EK231" s="682"/>
      <c r="EL231" s="682"/>
      <c r="EM231" s="682"/>
      <c r="EN231" s="682"/>
      <c r="EO231" s="682"/>
      <c r="EP231" s="682"/>
      <c r="EQ231" s="682"/>
      <c r="ER231" s="682"/>
      <c r="ES231" s="682"/>
      <c r="ET231" s="682"/>
      <c r="EU231" s="682"/>
      <c r="EV231" s="682"/>
      <c r="EW231" s="682"/>
      <c r="EX231" s="682"/>
      <c r="EY231" s="682"/>
      <c r="EZ231" s="682"/>
      <c r="FA231" s="682"/>
      <c r="FB231" s="682"/>
      <c r="FC231" s="682"/>
      <c r="FD231" s="682"/>
      <c r="FE231" s="682"/>
      <c r="FF231" s="682"/>
      <c r="FG231" s="682"/>
      <c r="FH231" s="682"/>
      <c r="FI231" s="682"/>
      <c r="FJ231" s="682"/>
      <c r="FK231" s="682"/>
      <c r="FL231" s="682"/>
      <c r="FM231" s="682"/>
      <c r="FN231" s="682"/>
      <c r="FO231" s="682"/>
      <c r="FP231" s="682"/>
      <c r="FQ231" s="682"/>
      <c r="FR231" s="682"/>
      <c r="FS231" s="682"/>
      <c r="FT231" s="682"/>
      <c r="FU231" s="682"/>
      <c r="FV231" s="682"/>
      <c r="FW231" s="682"/>
      <c r="FX231" s="682"/>
      <c r="FY231" s="682"/>
      <c r="FZ231" s="682"/>
      <c r="GA231" s="682"/>
      <c r="GB231" s="682"/>
      <c r="GC231" s="682"/>
      <c r="GD231" s="682"/>
      <c r="GE231" s="682"/>
      <c r="GF231" s="682"/>
      <c r="GG231" s="682"/>
      <c r="GH231" s="682"/>
      <c r="GI231" s="682"/>
      <c r="GJ231" s="682"/>
      <c r="GK231" s="682"/>
      <c r="GL231" s="682"/>
      <c r="GM231" s="682"/>
      <c r="GN231" s="682"/>
      <c r="GO231" s="682"/>
      <c r="GP231" s="682"/>
      <c r="GQ231" s="682"/>
      <c r="GR231" s="682"/>
      <c r="GS231" s="682"/>
      <c r="GT231" s="682"/>
      <c r="GU231" s="682"/>
      <c r="GV231" s="682"/>
      <c r="GW231" s="682"/>
      <c r="GX231" s="682"/>
      <c r="GY231" s="682"/>
      <c r="GZ231" s="682"/>
      <c r="HA231" s="682"/>
      <c r="HB231" s="682"/>
      <c r="HC231" s="682"/>
      <c r="HD231" s="682"/>
      <c r="HE231" s="682"/>
      <c r="HF231" s="682"/>
      <c r="HG231" s="682"/>
      <c r="HH231" s="682"/>
      <c r="HI231" s="682"/>
      <c r="HJ231" s="682"/>
      <c r="HK231" s="682"/>
      <c r="HL231" s="682"/>
      <c r="HM231" s="682"/>
      <c r="HN231" s="682"/>
      <c r="HO231" s="682"/>
      <c r="HP231" s="682"/>
      <c r="HQ231" s="682"/>
      <c r="HR231" s="682"/>
      <c r="HS231" s="682"/>
      <c r="HT231" s="682"/>
      <c r="HU231" s="682"/>
      <c r="HV231" s="682"/>
      <c r="HW231" s="682"/>
      <c r="HX231" s="682"/>
      <c r="HY231" s="682"/>
      <c r="HZ231" s="682"/>
      <c r="IA231" s="682"/>
      <c r="IB231" s="682"/>
      <c r="IC231" s="682"/>
      <c r="ID231" s="682"/>
      <c r="IE231" s="682"/>
      <c r="IF231" s="682"/>
      <c r="IG231" s="682"/>
      <c r="IH231" s="682"/>
      <c r="II231" s="682"/>
      <c r="IJ231" s="682"/>
      <c r="IK231" s="682"/>
      <c r="IL231" s="682"/>
      <c r="IM231" s="682"/>
      <c r="IN231" s="682"/>
      <c r="IO231" s="682"/>
      <c r="IP231" s="682"/>
      <c r="IQ231" s="682"/>
      <c r="IR231" s="682"/>
      <c r="IS231" s="682"/>
      <c r="IT231" s="682"/>
      <c r="IU231" s="682"/>
      <c r="IV231" s="682"/>
    </row>
    <row r="232" spans="1:256" s="1036" customFormat="1" ht="16.5" customHeight="1" x14ac:dyDescent="0.2">
      <c r="H232" s="682"/>
      <c r="I232" s="682"/>
      <c r="J232" s="682"/>
      <c r="K232" s="682"/>
      <c r="L232" s="682"/>
      <c r="M232" s="682"/>
      <c r="N232" s="682"/>
      <c r="O232" s="682"/>
      <c r="P232" s="682"/>
      <c r="Q232" s="682"/>
      <c r="R232" s="682"/>
      <c r="S232" s="682"/>
      <c r="T232" s="682"/>
      <c r="U232" s="682"/>
      <c r="V232" s="682"/>
      <c r="W232" s="682"/>
      <c r="X232" s="682"/>
      <c r="Y232" s="682"/>
      <c r="Z232" s="682"/>
      <c r="AA232" s="682"/>
      <c r="AB232" s="682"/>
      <c r="AC232" s="682"/>
      <c r="AD232" s="682"/>
      <c r="AE232" s="682"/>
      <c r="AF232" s="682"/>
      <c r="AG232" s="682"/>
      <c r="AH232" s="682"/>
      <c r="AI232" s="682"/>
      <c r="AJ232" s="682"/>
      <c r="AK232" s="682"/>
      <c r="AL232" s="682"/>
      <c r="AM232" s="682"/>
      <c r="AN232" s="682"/>
      <c r="AO232" s="682"/>
      <c r="AP232" s="682"/>
      <c r="AQ232" s="682"/>
      <c r="AR232" s="682"/>
      <c r="AS232" s="682"/>
      <c r="AT232" s="682"/>
      <c r="AU232" s="682"/>
      <c r="AV232" s="682"/>
      <c r="AW232" s="682"/>
      <c r="AX232" s="682"/>
      <c r="AY232" s="682"/>
      <c r="AZ232" s="682"/>
      <c r="BA232" s="682"/>
      <c r="BB232" s="682"/>
      <c r="BC232" s="682"/>
      <c r="BD232" s="682"/>
      <c r="BE232" s="682"/>
      <c r="BF232" s="682"/>
      <c r="BG232" s="682"/>
      <c r="BH232" s="682"/>
      <c r="BI232" s="682"/>
      <c r="BJ232" s="682"/>
      <c r="BK232" s="682"/>
      <c r="BL232" s="682"/>
      <c r="BM232" s="682"/>
      <c r="BN232" s="682"/>
      <c r="BO232" s="682"/>
      <c r="BP232" s="682"/>
      <c r="BQ232" s="682"/>
      <c r="BR232" s="682"/>
      <c r="BS232" s="682"/>
      <c r="BT232" s="682"/>
      <c r="BU232" s="682"/>
      <c r="BV232" s="682"/>
      <c r="BW232" s="682"/>
      <c r="BX232" s="682"/>
      <c r="BY232" s="682"/>
      <c r="BZ232" s="682"/>
      <c r="CA232" s="682"/>
      <c r="CB232" s="682"/>
      <c r="CC232" s="682"/>
      <c r="CD232" s="682"/>
      <c r="CE232" s="682"/>
      <c r="CF232" s="682"/>
      <c r="CG232" s="682"/>
      <c r="CH232" s="682"/>
      <c r="CI232" s="682"/>
      <c r="CJ232" s="682"/>
      <c r="CK232" s="682"/>
      <c r="CL232" s="682"/>
      <c r="CM232" s="682"/>
      <c r="CN232" s="682"/>
      <c r="CO232" s="682"/>
      <c r="CP232" s="682"/>
      <c r="CQ232" s="682"/>
      <c r="CR232" s="682"/>
      <c r="CS232" s="682"/>
      <c r="CT232" s="682"/>
      <c r="CU232" s="682"/>
      <c r="CV232" s="682"/>
      <c r="CW232" s="682"/>
      <c r="CX232" s="682"/>
      <c r="CY232" s="682"/>
      <c r="CZ232" s="682"/>
      <c r="DA232" s="682"/>
      <c r="DB232" s="682"/>
      <c r="DC232" s="682"/>
      <c r="DD232" s="682"/>
      <c r="DE232" s="682"/>
      <c r="DF232" s="682"/>
      <c r="DG232" s="682"/>
      <c r="DH232" s="682"/>
      <c r="DI232" s="682"/>
      <c r="DJ232" s="682"/>
      <c r="DK232" s="682"/>
      <c r="DL232" s="682"/>
      <c r="DM232" s="682"/>
      <c r="DN232" s="682"/>
      <c r="DO232" s="682"/>
      <c r="DP232" s="682"/>
      <c r="DQ232" s="682"/>
      <c r="DR232" s="682"/>
      <c r="DS232" s="682"/>
      <c r="DT232" s="682"/>
      <c r="DU232" s="682"/>
      <c r="DV232" s="682"/>
      <c r="DW232" s="682"/>
      <c r="DX232" s="682"/>
      <c r="DY232" s="682"/>
      <c r="DZ232" s="682"/>
      <c r="EA232" s="682"/>
      <c r="EB232" s="682"/>
      <c r="EC232" s="682"/>
      <c r="ED232" s="682"/>
      <c r="EE232" s="682"/>
      <c r="EF232" s="682"/>
      <c r="EG232" s="682"/>
      <c r="EH232" s="682"/>
      <c r="EI232" s="682"/>
      <c r="EJ232" s="682"/>
      <c r="EK232" s="682"/>
      <c r="EL232" s="682"/>
      <c r="EM232" s="682"/>
      <c r="EN232" s="682"/>
      <c r="EO232" s="682"/>
      <c r="EP232" s="682"/>
      <c r="EQ232" s="682"/>
      <c r="ER232" s="682"/>
      <c r="ES232" s="682"/>
      <c r="ET232" s="682"/>
      <c r="EU232" s="682"/>
      <c r="EV232" s="682"/>
      <c r="EW232" s="682"/>
      <c r="EX232" s="682"/>
      <c r="EY232" s="682"/>
      <c r="EZ232" s="682"/>
      <c r="FA232" s="682"/>
      <c r="FB232" s="682"/>
      <c r="FC232" s="682"/>
      <c r="FD232" s="682"/>
      <c r="FE232" s="682"/>
      <c r="FF232" s="682"/>
      <c r="FG232" s="682"/>
      <c r="FH232" s="682"/>
      <c r="FI232" s="682"/>
      <c r="FJ232" s="682"/>
      <c r="FK232" s="682"/>
      <c r="FL232" s="682"/>
      <c r="FM232" s="682"/>
      <c r="FN232" s="682"/>
      <c r="FO232" s="682"/>
      <c r="FP232" s="682"/>
      <c r="FQ232" s="682"/>
      <c r="FR232" s="682"/>
      <c r="FS232" s="682"/>
      <c r="FT232" s="682"/>
      <c r="FU232" s="682"/>
      <c r="FV232" s="682"/>
      <c r="FW232" s="682"/>
      <c r="FX232" s="682"/>
      <c r="FY232" s="682"/>
      <c r="FZ232" s="682"/>
      <c r="GA232" s="682"/>
      <c r="GB232" s="682"/>
      <c r="GC232" s="682"/>
      <c r="GD232" s="682"/>
      <c r="GE232" s="682"/>
      <c r="GF232" s="682"/>
      <c r="GG232" s="682"/>
      <c r="GH232" s="682"/>
      <c r="GI232" s="682"/>
      <c r="GJ232" s="682"/>
      <c r="GK232" s="682"/>
      <c r="GL232" s="682"/>
      <c r="GM232" s="682"/>
      <c r="GN232" s="682"/>
      <c r="GO232" s="682"/>
      <c r="GP232" s="682"/>
      <c r="GQ232" s="682"/>
      <c r="GR232" s="682"/>
      <c r="GS232" s="682"/>
      <c r="GT232" s="682"/>
      <c r="GU232" s="682"/>
      <c r="GV232" s="682"/>
      <c r="GW232" s="682"/>
      <c r="GX232" s="682"/>
      <c r="GY232" s="682"/>
      <c r="GZ232" s="682"/>
      <c r="HA232" s="682"/>
      <c r="HB232" s="682"/>
      <c r="HC232" s="682"/>
      <c r="HD232" s="682"/>
      <c r="HE232" s="682"/>
      <c r="HF232" s="682"/>
      <c r="HG232" s="682"/>
      <c r="HH232" s="682"/>
      <c r="HI232" s="682"/>
      <c r="HJ232" s="682"/>
      <c r="HK232" s="682"/>
      <c r="HL232" s="682"/>
      <c r="HM232" s="682"/>
      <c r="HN232" s="682"/>
      <c r="HO232" s="682"/>
      <c r="HP232" s="682"/>
      <c r="HQ232" s="682"/>
      <c r="HR232" s="682"/>
      <c r="HS232" s="682"/>
      <c r="HT232" s="682"/>
      <c r="HU232" s="682"/>
      <c r="HV232" s="682"/>
      <c r="HW232" s="682"/>
      <c r="HX232" s="682"/>
      <c r="HY232" s="682"/>
      <c r="HZ232" s="682"/>
      <c r="IA232" s="682"/>
      <c r="IB232" s="682"/>
      <c r="IC232" s="682"/>
      <c r="ID232" s="682"/>
      <c r="IE232" s="682"/>
      <c r="IF232" s="682"/>
      <c r="IG232" s="682"/>
      <c r="IH232" s="682"/>
      <c r="II232" s="682"/>
      <c r="IJ232" s="682"/>
      <c r="IK232" s="682"/>
      <c r="IL232" s="682"/>
      <c r="IM232" s="682"/>
      <c r="IN232" s="682"/>
      <c r="IO232" s="682"/>
      <c r="IP232" s="682"/>
      <c r="IQ232" s="682"/>
      <c r="IR232" s="682"/>
      <c r="IS232" s="682"/>
      <c r="IT232" s="682"/>
      <c r="IU232" s="682"/>
      <c r="IV232" s="682"/>
    </row>
    <row r="233" spans="1:256" s="1036" customFormat="1" ht="16.5" customHeight="1" x14ac:dyDescent="0.2">
      <c r="H233" s="682"/>
      <c r="I233" s="682"/>
      <c r="J233" s="682"/>
      <c r="K233" s="682"/>
      <c r="L233" s="682"/>
      <c r="M233" s="682"/>
      <c r="N233" s="682"/>
      <c r="O233" s="682"/>
      <c r="P233" s="682"/>
      <c r="Q233" s="682"/>
      <c r="R233" s="682"/>
      <c r="S233" s="682"/>
      <c r="T233" s="682"/>
      <c r="U233" s="682"/>
      <c r="V233" s="682"/>
      <c r="W233" s="682"/>
      <c r="X233" s="682"/>
      <c r="Y233" s="682"/>
      <c r="Z233" s="682"/>
      <c r="AA233" s="682"/>
      <c r="AB233" s="682"/>
      <c r="AC233" s="682"/>
      <c r="AD233" s="682"/>
      <c r="AE233" s="682"/>
      <c r="AF233" s="682"/>
      <c r="AG233" s="682"/>
      <c r="AH233" s="682"/>
      <c r="AI233" s="682"/>
      <c r="AJ233" s="682"/>
      <c r="AK233" s="682"/>
      <c r="AL233" s="682"/>
      <c r="AM233" s="682"/>
      <c r="AN233" s="682"/>
      <c r="AO233" s="682"/>
      <c r="AP233" s="682"/>
      <c r="AQ233" s="682"/>
      <c r="AR233" s="682"/>
      <c r="AS233" s="682"/>
      <c r="AT233" s="682"/>
      <c r="AU233" s="682"/>
      <c r="AV233" s="682"/>
      <c r="AW233" s="682"/>
      <c r="AX233" s="682"/>
      <c r="AY233" s="682"/>
      <c r="AZ233" s="682"/>
      <c r="BA233" s="682"/>
      <c r="BB233" s="682"/>
      <c r="BC233" s="682"/>
      <c r="BD233" s="682"/>
      <c r="BE233" s="682"/>
      <c r="BF233" s="682"/>
      <c r="BG233" s="682"/>
      <c r="BH233" s="682"/>
      <c r="BI233" s="682"/>
      <c r="BJ233" s="682"/>
      <c r="BK233" s="682"/>
      <c r="BL233" s="682"/>
      <c r="BM233" s="682"/>
      <c r="BN233" s="682"/>
      <c r="BO233" s="682"/>
      <c r="BP233" s="682"/>
      <c r="BQ233" s="682"/>
      <c r="BR233" s="682"/>
      <c r="BS233" s="682"/>
      <c r="BT233" s="682"/>
      <c r="BU233" s="682"/>
      <c r="BV233" s="682"/>
      <c r="BW233" s="682"/>
      <c r="BX233" s="682"/>
      <c r="BY233" s="682"/>
      <c r="BZ233" s="682"/>
      <c r="CA233" s="682"/>
      <c r="CB233" s="682"/>
      <c r="CC233" s="682"/>
      <c r="CD233" s="682"/>
      <c r="CE233" s="682"/>
      <c r="CF233" s="682"/>
      <c r="CG233" s="682"/>
      <c r="CH233" s="682"/>
      <c r="CI233" s="682"/>
      <c r="CJ233" s="682"/>
      <c r="CK233" s="682"/>
      <c r="CL233" s="682"/>
      <c r="CM233" s="682"/>
      <c r="CN233" s="682"/>
      <c r="CO233" s="682"/>
      <c r="CP233" s="682"/>
      <c r="CQ233" s="682"/>
      <c r="CR233" s="682"/>
      <c r="CS233" s="682"/>
      <c r="CT233" s="682"/>
      <c r="CU233" s="682"/>
      <c r="CV233" s="682"/>
      <c r="CW233" s="682"/>
      <c r="CX233" s="682"/>
      <c r="CY233" s="682"/>
      <c r="CZ233" s="682"/>
      <c r="DA233" s="682"/>
      <c r="DB233" s="682"/>
      <c r="DC233" s="682"/>
      <c r="DD233" s="682"/>
      <c r="DE233" s="682"/>
      <c r="DF233" s="682"/>
      <c r="DG233" s="682"/>
      <c r="DH233" s="682"/>
      <c r="DI233" s="682"/>
      <c r="DJ233" s="682"/>
      <c r="DK233" s="682"/>
      <c r="DL233" s="682"/>
      <c r="DM233" s="682"/>
      <c r="DN233" s="682"/>
      <c r="DO233" s="682"/>
      <c r="DP233" s="682"/>
      <c r="DQ233" s="682"/>
      <c r="DR233" s="682"/>
      <c r="DS233" s="682"/>
      <c r="DT233" s="682"/>
      <c r="DU233" s="682"/>
      <c r="DV233" s="682"/>
      <c r="DW233" s="682"/>
      <c r="DX233" s="682"/>
      <c r="DY233" s="682"/>
      <c r="DZ233" s="682"/>
      <c r="EA233" s="682"/>
      <c r="EB233" s="682"/>
      <c r="EC233" s="682"/>
      <c r="ED233" s="682"/>
      <c r="EE233" s="682"/>
      <c r="EF233" s="682"/>
      <c r="EG233" s="682"/>
      <c r="EH233" s="682"/>
      <c r="EI233" s="682"/>
      <c r="EJ233" s="682"/>
      <c r="EK233" s="682"/>
      <c r="EL233" s="682"/>
      <c r="EM233" s="682"/>
      <c r="EN233" s="682"/>
      <c r="EO233" s="682"/>
      <c r="EP233" s="682"/>
      <c r="EQ233" s="682"/>
      <c r="ER233" s="682"/>
      <c r="ES233" s="682"/>
      <c r="ET233" s="682"/>
      <c r="EU233" s="682"/>
      <c r="EV233" s="682"/>
      <c r="EW233" s="682"/>
      <c r="EX233" s="682"/>
      <c r="EY233" s="682"/>
      <c r="EZ233" s="682"/>
      <c r="FA233" s="682"/>
      <c r="FB233" s="682"/>
      <c r="FC233" s="682"/>
      <c r="FD233" s="682"/>
      <c r="FE233" s="682"/>
      <c r="FF233" s="682"/>
      <c r="FG233" s="682"/>
      <c r="FH233" s="682"/>
      <c r="FI233" s="682"/>
      <c r="FJ233" s="682"/>
      <c r="FK233" s="682"/>
      <c r="FL233" s="682"/>
      <c r="FM233" s="682"/>
      <c r="FN233" s="682"/>
      <c r="FO233" s="682"/>
      <c r="FP233" s="682"/>
      <c r="FQ233" s="682"/>
      <c r="FR233" s="682"/>
      <c r="FS233" s="682"/>
      <c r="FT233" s="682"/>
      <c r="FU233" s="682"/>
      <c r="FV233" s="682"/>
      <c r="FW233" s="682"/>
      <c r="FX233" s="682"/>
      <c r="FY233" s="682"/>
      <c r="FZ233" s="682"/>
      <c r="GA233" s="682"/>
      <c r="GB233" s="682"/>
      <c r="GC233" s="682"/>
      <c r="GD233" s="682"/>
      <c r="GE233" s="682"/>
      <c r="GF233" s="682"/>
      <c r="GG233" s="682"/>
      <c r="GH233" s="682"/>
      <c r="GI233" s="682"/>
      <c r="GJ233" s="682"/>
      <c r="GK233" s="682"/>
      <c r="GL233" s="682"/>
      <c r="GM233" s="682"/>
      <c r="GN233" s="682"/>
      <c r="GO233" s="682"/>
      <c r="GP233" s="682"/>
      <c r="GQ233" s="682"/>
      <c r="GR233" s="682"/>
      <c r="GS233" s="682"/>
      <c r="GT233" s="682"/>
      <c r="GU233" s="682"/>
      <c r="GV233" s="682"/>
      <c r="GW233" s="682"/>
      <c r="GX233" s="682"/>
      <c r="GY233" s="682"/>
      <c r="GZ233" s="682"/>
      <c r="HA233" s="682"/>
      <c r="HB233" s="682"/>
      <c r="HC233" s="682"/>
      <c r="HD233" s="682"/>
      <c r="HE233" s="682"/>
      <c r="HF233" s="682"/>
      <c r="HG233" s="682"/>
      <c r="HH233" s="682"/>
      <c r="HI233" s="682"/>
      <c r="HJ233" s="682"/>
      <c r="HK233" s="682"/>
      <c r="HL233" s="682"/>
      <c r="HM233" s="682"/>
      <c r="HN233" s="682"/>
      <c r="HO233" s="682"/>
      <c r="HP233" s="682"/>
      <c r="HQ233" s="682"/>
      <c r="HR233" s="682"/>
      <c r="HS233" s="682"/>
      <c r="HT233" s="682"/>
      <c r="HU233" s="682"/>
      <c r="HV233" s="682"/>
      <c r="HW233" s="682"/>
      <c r="HX233" s="682"/>
      <c r="HY233" s="682"/>
      <c r="HZ233" s="682"/>
      <c r="IA233" s="682"/>
      <c r="IB233" s="682"/>
      <c r="IC233" s="682"/>
      <c r="ID233" s="682"/>
      <c r="IE233" s="682"/>
      <c r="IF233" s="682"/>
      <c r="IG233" s="682"/>
      <c r="IH233" s="682"/>
      <c r="II233" s="682"/>
      <c r="IJ233" s="682"/>
      <c r="IK233" s="682"/>
      <c r="IL233" s="682"/>
      <c r="IM233" s="682"/>
      <c r="IN233" s="682"/>
      <c r="IO233" s="682"/>
      <c r="IP233" s="682"/>
      <c r="IQ233" s="682"/>
      <c r="IR233" s="682"/>
      <c r="IS233" s="682"/>
      <c r="IT233" s="682"/>
      <c r="IU233" s="682"/>
      <c r="IV233" s="682"/>
    </row>
    <row r="234" spans="1:256" s="1036" customFormat="1" ht="16.5" customHeight="1" x14ac:dyDescent="0.2">
      <c r="H234" s="682"/>
      <c r="I234" s="682"/>
      <c r="J234" s="682"/>
      <c r="K234" s="682"/>
      <c r="L234" s="682"/>
      <c r="M234" s="682"/>
      <c r="N234" s="682"/>
      <c r="O234" s="682"/>
      <c r="P234" s="682"/>
      <c r="Q234" s="682"/>
      <c r="R234" s="682"/>
      <c r="S234" s="682"/>
      <c r="T234" s="682"/>
      <c r="U234" s="682"/>
      <c r="V234" s="682"/>
      <c r="W234" s="682"/>
      <c r="X234" s="682"/>
      <c r="Y234" s="682"/>
      <c r="Z234" s="682"/>
      <c r="AA234" s="682"/>
      <c r="AB234" s="682"/>
      <c r="AC234" s="682"/>
      <c r="AD234" s="682"/>
      <c r="AE234" s="682"/>
      <c r="AF234" s="682"/>
      <c r="AG234" s="682"/>
      <c r="AH234" s="682"/>
      <c r="AI234" s="682"/>
      <c r="AJ234" s="682"/>
      <c r="AK234" s="682"/>
      <c r="AL234" s="682"/>
      <c r="AM234" s="682"/>
      <c r="AN234" s="682"/>
      <c r="AO234" s="682"/>
      <c r="AP234" s="682"/>
      <c r="AQ234" s="682"/>
      <c r="AR234" s="682"/>
      <c r="AS234" s="682"/>
      <c r="AT234" s="682"/>
      <c r="AU234" s="682"/>
      <c r="AV234" s="682"/>
      <c r="AW234" s="682"/>
      <c r="AX234" s="682"/>
      <c r="AY234" s="682"/>
      <c r="AZ234" s="682"/>
      <c r="BA234" s="682"/>
      <c r="BB234" s="682"/>
      <c r="BC234" s="682"/>
      <c r="BD234" s="682"/>
      <c r="BE234" s="682"/>
      <c r="BF234" s="682"/>
      <c r="BG234" s="682"/>
      <c r="BH234" s="682"/>
      <c r="BI234" s="682"/>
      <c r="BJ234" s="682"/>
      <c r="BK234" s="682"/>
      <c r="BL234" s="682"/>
      <c r="BM234" s="682"/>
      <c r="BN234" s="682"/>
      <c r="BO234" s="682"/>
      <c r="BP234" s="682"/>
      <c r="BQ234" s="682"/>
      <c r="BR234" s="682"/>
      <c r="BS234" s="682"/>
      <c r="BT234" s="682"/>
      <c r="BU234" s="682"/>
      <c r="BV234" s="682"/>
      <c r="BW234" s="682"/>
      <c r="BX234" s="682"/>
      <c r="BY234" s="682"/>
      <c r="BZ234" s="682"/>
      <c r="CA234" s="682"/>
      <c r="CB234" s="682"/>
      <c r="CC234" s="682"/>
      <c r="CD234" s="682"/>
      <c r="CE234" s="682"/>
      <c r="CF234" s="682"/>
      <c r="CG234" s="682"/>
      <c r="CH234" s="682"/>
      <c r="CI234" s="682"/>
      <c r="CJ234" s="682"/>
      <c r="CK234" s="682"/>
      <c r="CL234" s="682"/>
      <c r="CM234" s="682"/>
      <c r="CN234" s="682"/>
      <c r="CO234" s="682"/>
      <c r="CP234" s="682"/>
      <c r="CQ234" s="682"/>
      <c r="CR234" s="682"/>
      <c r="CS234" s="682"/>
      <c r="CT234" s="682"/>
      <c r="CU234" s="682"/>
      <c r="CV234" s="682"/>
      <c r="CW234" s="682"/>
      <c r="CX234" s="682"/>
      <c r="CY234" s="682"/>
      <c r="CZ234" s="682"/>
      <c r="DA234" s="682"/>
      <c r="DB234" s="682"/>
      <c r="DC234" s="682"/>
      <c r="DD234" s="682"/>
      <c r="DE234" s="682"/>
      <c r="DF234" s="682"/>
      <c r="DG234" s="682"/>
      <c r="DH234" s="682"/>
      <c r="DI234" s="682"/>
      <c r="DJ234" s="682"/>
      <c r="DK234" s="682"/>
      <c r="DL234" s="682"/>
      <c r="DM234" s="682"/>
      <c r="DN234" s="682"/>
      <c r="DO234" s="682"/>
      <c r="DP234" s="682"/>
      <c r="DQ234" s="682"/>
      <c r="DR234" s="682"/>
      <c r="DS234" s="682"/>
      <c r="DT234" s="682"/>
      <c r="DU234" s="682"/>
      <c r="DV234" s="682"/>
      <c r="DW234" s="682"/>
      <c r="DX234" s="682"/>
      <c r="DY234" s="682"/>
      <c r="DZ234" s="682"/>
      <c r="EA234" s="682"/>
      <c r="EB234" s="682"/>
      <c r="EC234" s="682"/>
      <c r="ED234" s="682"/>
      <c r="EE234" s="682"/>
      <c r="EF234" s="682"/>
      <c r="EG234" s="682"/>
      <c r="EH234" s="682"/>
      <c r="EI234" s="682"/>
      <c r="EJ234" s="682"/>
      <c r="EK234" s="682"/>
      <c r="EL234" s="682"/>
      <c r="EM234" s="682"/>
      <c r="EN234" s="682"/>
      <c r="EO234" s="682"/>
      <c r="EP234" s="682"/>
      <c r="EQ234" s="682"/>
      <c r="ER234" s="682"/>
      <c r="ES234" s="682"/>
      <c r="ET234" s="682"/>
      <c r="EU234" s="682"/>
      <c r="EV234" s="682"/>
      <c r="EW234" s="682"/>
      <c r="EX234" s="682"/>
      <c r="EY234" s="682"/>
      <c r="EZ234" s="682"/>
      <c r="FA234" s="682"/>
      <c r="FB234" s="682"/>
      <c r="FC234" s="682"/>
      <c r="FD234" s="682"/>
      <c r="FE234" s="682"/>
      <c r="FF234" s="682"/>
      <c r="FG234" s="682"/>
      <c r="FH234" s="682"/>
      <c r="FI234" s="682"/>
      <c r="FJ234" s="682"/>
      <c r="FK234" s="682"/>
      <c r="FL234" s="682"/>
      <c r="FM234" s="682"/>
      <c r="FN234" s="682"/>
      <c r="FO234" s="682"/>
      <c r="FP234" s="682"/>
      <c r="FQ234" s="682"/>
      <c r="FR234" s="682"/>
      <c r="FS234" s="682"/>
      <c r="FT234" s="682"/>
      <c r="FU234" s="682"/>
      <c r="FV234" s="682"/>
      <c r="FW234" s="682"/>
      <c r="FX234" s="682"/>
      <c r="FY234" s="682"/>
      <c r="FZ234" s="682"/>
      <c r="GA234" s="682"/>
      <c r="GB234" s="682"/>
      <c r="GC234" s="682"/>
      <c r="GD234" s="682"/>
      <c r="GE234" s="682"/>
      <c r="GF234" s="682"/>
      <c r="GG234" s="682"/>
      <c r="GH234" s="682"/>
      <c r="GI234" s="682"/>
      <c r="GJ234" s="682"/>
      <c r="GK234" s="682"/>
      <c r="GL234" s="682"/>
      <c r="GM234" s="682"/>
      <c r="GN234" s="682"/>
      <c r="GO234" s="682"/>
      <c r="GP234" s="682"/>
      <c r="GQ234" s="682"/>
      <c r="GR234" s="682"/>
      <c r="GS234" s="682"/>
      <c r="GT234" s="682"/>
      <c r="GU234" s="682"/>
      <c r="GV234" s="682"/>
      <c r="GW234" s="682"/>
      <c r="GX234" s="682"/>
      <c r="GY234" s="682"/>
      <c r="GZ234" s="682"/>
      <c r="HA234" s="682"/>
      <c r="HB234" s="682"/>
      <c r="HC234" s="682"/>
      <c r="HD234" s="682"/>
      <c r="HE234" s="682"/>
      <c r="HF234" s="682"/>
      <c r="HG234" s="682"/>
      <c r="HH234" s="682"/>
      <c r="HI234" s="682"/>
      <c r="HJ234" s="682"/>
      <c r="HK234" s="682"/>
      <c r="HL234" s="682"/>
      <c r="HM234" s="682"/>
      <c r="HN234" s="682"/>
      <c r="HO234" s="682"/>
      <c r="HP234" s="682"/>
      <c r="HQ234" s="682"/>
      <c r="HR234" s="682"/>
      <c r="HS234" s="682"/>
      <c r="HT234" s="682"/>
      <c r="HU234" s="682"/>
      <c r="HV234" s="682"/>
      <c r="HW234" s="682"/>
      <c r="HX234" s="682"/>
      <c r="HY234" s="682"/>
      <c r="HZ234" s="682"/>
      <c r="IA234" s="682"/>
      <c r="IB234" s="682"/>
      <c r="IC234" s="682"/>
      <c r="ID234" s="682"/>
      <c r="IE234" s="682"/>
      <c r="IF234" s="682"/>
      <c r="IG234" s="682"/>
      <c r="IH234" s="682"/>
      <c r="II234" s="682"/>
      <c r="IJ234" s="682"/>
      <c r="IK234" s="682"/>
      <c r="IL234" s="682"/>
      <c r="IM234" s="682"/>
      <c r="IN234" s="682"/>
      <c r="IO234" s="682"/>
      <c r="IP234" s="682"/>
      <c r="IQ234" s="682"/>
      <c r="IR234" s="682"/>
      <c r="IS234" s="682"/>
      <c r="IT234" s="682"/>
      <c r="IU234" s="682"/>
      <c r="IV234" s="682"/>
    </row>
    <row r="235" spans="1:256" s="1036" customFormat="1" ht="16.5" customHeight="1" x14ac:dyDescent="0.2">
      <c r="H235" s="682"/>
      <c r="I235" s="682"/>
      <c r="J235" s="682"/>
      <c r="K235" s="682"/>
      <c r="L235" s="682"/>
      <c r="M235" s="682"/>
      <c r="N235" s="682"/>
      <c r="O235" s="682"/>
      <c r="P235" s="682"/>
      <c r="Q235" s="682"/>
      <c r="R235" s="682"/>
      <c r="S235" s="682"/>
      <c r="T235" s="682"/>
      <c r="U235" s="682"/>
      <c r="V235" s="682"/>
      <c r="W235" s="682"/>
      <c r="X235" s="682"/>
      <c r="Y235" s="682"/>
      <c r="Z235" s="682"/>
      <c r="AA235" s="682"/>
      <c r="AB235" s="682"/>
      <c r="AC235" s="682"/>
      <c r="AD235" s="682"/>
      <c r="AE235" s="682"/>
      <c r="AF235" s="682"/>
      <c r="AG235" s="682"/>
      <c r="AH235" s="682"/>
      <c r="AI235" s="682"/>
      <c r="AJ235" s="682"/>
      <c r="AK235" s="682"/>
      <c r="AL235" s="682"/>
      <c r="AM235" s="682"/>
      <c r="AN235" s="682"/>
      <c r="AO235" s="682"/>
      <c r="AP235" s="682"/>
      <c r="AQ235" s="682"/>
      <c r="AR235" s="682"/>
      <c r="AS235" s="682"/>
      <c r="AT235" s="682"/>
      <c r="AU235" s="682"/>
      <c r="AV235" s="682"/>
      <c r="AW235" s="682"/>
      <c r="AX235" s="682"/>
      <c r="AY235" s="682"/>
      <c r="AZ235" s="682"/>
      <c r="BA235" s="682"/>
      <c r="BB235" s="682"/>
      <c r="BC235" s="682"/>
      <c r="BD235" s="682"/>
      <c r="BE235" s="682"/>
      <c r="BF235" s="682"/>
      <c r="BG235" s="682"/>
      <c r="BH235" s="682"/>
      <c r="BI235" s="682"/>
      <c r="BJ235" s="682"/>
      <c r="BK235" s="682"/>
      <c r="BL235" s="682"/>
      <c r="BM235" s="682"/>
      <c r="BN235" s="682"/>
      <c r="BO235" s="682"/>
      <c r="BP235" s="682"/>
      <c r="BQ235" s="682"/>
      <c r="BR235" s="682"/>
      <c r="BS235" s="682"/>
      <c r="BT235" s="682"/>
      <c r="BU235" s="682"/>
      <c r="BV235" s="682"/>
      <c r="BW235" s="682"/>
      <c r="BX235" s="682"/>
      <c r="BY235" s="682"/>
      <c r="BZ235" s="682"/>
      <c r="CA235" s="682"/>
      <c r="CB235" s="682"/>
      <c r="CC235" s="682"/>
      <c r="CD235" s="682"/>
      <c r="CE235" s="682"/>
      <c r="CF235" s="682"/>
      <c r="CG235" s="682"/>
      <c r="CH235" s="682"/>
      <c r="CI235" s="682"/>
      <c r="CJ235" s="682"/>
      <c r="CK235" s="682"/>
      <c r="CL235" s="682"/>
      <c r="CM235" s="682"/>
      <c r="CN235" s="682"/>
      <c r="CO235" s="682"/>
      <c r="CP235" s="682"/>
      <c r="CQ235" s="682"/>
      <c r="CR235" s="682"/>
      <c r="CS235" s="682"/>
      <c r="CT235" s="682"/>
      <c r="CU235" s="682"/>
      <c r="CV235" s="682"/>
      <c r="CW235" s="682"/>
      <c r="CX235" s="682"/>
      <c r="CY235" s="682"/>
      <c r="CZ235" s="682"/>
      <c r="DA235" s="682"/>
      <c r="DB235" s="682"/>
      <c r="DC235" s="682"/>
      <c r="DD235" s="682"/>
      <c r="DE235" s="682"/>
      <c r="DF235" s="682"/>
      <c r="DG235" s="682"/>
      <c r="DH235" s="682"/>
      <c r="DI235" s="682"/>
      <c r="DJ235" s="682"/>
      <c r="DK235" s="682"/>
      <c r="DL235" s="682"/>
      <c r="DM235" s="682"/>
      <c r="DN235" s="682"/>
      <c r="DO235" s="682"/>
      <c r="DP235" s="682"/>
      <c r="DQ235" s="682"/>
      <c r="DR235" s="682"/>
      <c r="DS235" s="682"/>
      <c r="DT235" s="682"/>
      <c r="DU235" s="682"/>
      <c r="DV235" s="682"/>
      <c r="DW235" s="682"/>
      <c r="DX235" s="682"/>
      <c r="DY235" s="682"/>
      <c r="DZ235" s="682"/>
      <c r="EA235" s="682"/>
      <c r="EB235" s="682"/>
      <c r="EC235" s="682"/>
      <c r="ED235" s="682"/>
      <c r="EE235" s="682"/>
      <c r="EF235" s="682"/>
      <c r="EG235" s="682"/>
      <c r="EH235" s="682"/>
      <c r="EI235" s="682"/>
      <c r="EJ235" s="682"/>
      <c r="EK235" s="682"/>
      <c r="EL235" s="682"/>
      <c r="EM235" s="682"/>
      <c r="EN235" s="682"/>
      <c r="EO235" s="682"/>
      <c r="EP235" s="682"/>
      <c r="EQ235" s="682"/>
      <c r="ER235" s="682"/>
      <c r="ES235" s="682"/>
      <c r="ET235" s="682"/>
      <c r="EU235" s="682"/>
      <c r="EV235" s="682"/>
      <c r="EW235" s="682"/>
      <c r="EX235" s="682"/>
      <c r="EY235" s="682"/>
      <c r="EZ235" s="682"/>
      <c r="FA235" s="682"/>
      <c r="FB235" s="682"/>
      <c r="FC235" s="682"/>
      <c r="FD235" s="682"/>
      <c r="FE235" s="682"/>
      <c r="FF235" s="682"/>
      <c r="FG235" s="682"/>
      <c r="FH235" s="682"/>
      <c r="FI235" s="682"/>
      <c r="FJ235" s="682"/>
      <c r="FK235" s="682"/>
      <c r="FL235" s="682"/>
      <c r="FM235" s="682"/>
      <c r="FN235" s="682"/>
      <c r="FO235" s="682"/>
      <c r="FP235" s="682"/>
      <c r="FQ235" s="682"/>
      <c r="FR235" s="682"/>
      <c r="FS235" s="682"/>
      <c r="FT235" s="682"/>
      <c r="FU235" s="682"/>
      <c r="FV235" s="682"/>
      <c r="FW235" s="682"/>
      <c r="FX235" s="682"/>
      <c r="FY235" s="682"/>
      <c r="FZ235" s="682"/>
      <c r="GA235" s="682"/>
      <c r="GB235" s="682"/>
      <c r="GC235" s="682"/>
      <c r="GD235" s="682"/>
      <c r="GE235" s="682"/>
      <c r="GF235" s="682"/>
      <c r="GG235" s="682"/>
      <c r="GH235" s="682"/>
      <c r="GI235" s="682"/>
      <c r="GJ235" s="682"/>
      <c r="GK235" s="682"/>
      <c r="GL235" s="682"/>
      <c r="GM235" s="682"/>
      <c r="GN235" s="682"/>
      <c r="GO235" s="682"/>
      <c r="GP235" s="682"/>
      <c r="GQ235" s="682"/>
      <c r="GR235" s="682"/>
      <c r="GS235" s="682"/>
      <c r="GT235" s="682"/>
      <c r="GU235" s="682"/>
      <c r="GV235" s="682"/>
      <c r="GW235" s="682"/>
      <c r="GX235" s="682"/>
      <c r="GY235" s="682"/>
      <c r="GZ235" s="682"/>
      <c r="HA235" s="682"/>
      <c r="HB235" s="682"/>
      <c r="HC235" s="682"/>
      <c r="HD235" s="682"/>
      <c r="HE235" s="682"/>
      <c r="HF235" s="682"/>
      <c r="HG235" s="682"/>
      <c r="HH235" s="682"/>
      <c r="HI235" s="682"/>
      <c r="HJ235" s="682"/>
      <c r="HK235" s="682"/>
      <c r="HL235" s="682"/>
      <c r="HM235" s="682"/>
      <c r="HN235" s="682"/>
      <c r="HO235" s="682"/>
      <c r="HP235" s="682"/>
      <c r="HQ235" s="682"/>
      <c r="HR235" s="682"/>
      <c r="HS235" s="682"/>
      <c r="HT235" s="682"/>
      <c r="HU235" s="682"/>
      <c r="HV235" s="682"/>
      <c r="HW235" s="682"/>
      <c r="HX235" s="682"/>
      <c r="HY235" s="682"/>
      <c r="HZ235" s="682"/>
      <c r="IA235" s="682"/>
      <c r="IB235" s="682"/>
      <c r="IC235" s="682"/>
      <c r="ID235" s="682"/>
      <c r="IE235" s="682"/>
      <c r="IF235" s="682"/>
      <c r="IG235" s="682"/>
      <c r="IH235" s="682"/>
      <c r="II235" s="682"/>
      <c r="IJ235" s="682"/>
      <c r="IK235" s="682"/>
      <c r="IL235" s="682"/>
      <c r="IM235" s="682"/>
      <c r="IN235" s="682"/>
      <c r="IO235" s="682"/>
      <c r="IP235" s="682"/>
      <c r="IQ235" s="682"/>
      <c r="IR235" s="682"/>
      <c r="IS235" s="682"/>
      <c r="IT235" s="682"/>
      <c r="IU235" s="682"/>
      <c r="IV235" s="682"/>
    </row>
    <row r="236" spans="1:256" s="793" customFormat="1" ht="16.5" customHeight="1" x14ac:dyDescent="0.2">
      <c r="A236" s="1069"/>
      <c r="B236" s="1069"/>
      <c r="C236" s="1069"/>
      <c r="D236" s="1069"/>
      <c r="E236" s="1069"/>
      <c r="F236" s="1069"/>
      <c r="G236" s="1069"/>
      <c r="H236" s="1008"/>
      <c r="I236" s="1169"/>
      <c r="J236" s="1169"/>
      <c r="K236" s="1169"/>
      <c r="L236" s="1169"/>
      <c r="M236" s="1169"/>
      <c r="N236" s="1169"/>
      <c r="O236" s="1169"/>
      <c r="P236" s="1169"/>
      <c r="Q236" s="1169"/>
      <c r="R236" s="1169"/>
      <c r="S236" s="1169"/>
      <c r="T236" s="1169"/>
      <c r="U236" s="1169"/>
      <c r="V236" s="1169"/>
      <c r="W236" s="1169"/>
      <c r="X236" s="1169"/>
      <c r="Y236" s="1169"/>
      <c r="Z236" s="1169"/>
      <c r="AA236" s="1008"/>
      <c r="AB236" s="1008"/>
      <c r="AC236" s="1008"/>
      <c r="AD236" s="1008"/>
      <c r="AE236" s="1008"/>
      <c r="AF236" s="1008"/>
      <c r="AG236" s="1008"/>
      <c r="AH236" s="1008"/>
      <c r="AI236" s="1008"/>
      <c r="AJ236" s="1008"/>
      <c r="AK236" s="1008"/>
      <c r="AL236" s="1008"/>
      <c r="AM236" s="1008"/>
      <c r="AN236" s="1008"/>
      <c r="AO236" s="1008"/>
      <c r="AP236" s="1008"/>
      <c r="AQ236" s="1008"/>
      <c r="AR236" s="1008"/>
      <c r="AS236" s="1008"/>
      <c r="AT236" s="1008"/>
      <c r="AU236" s="1008"/>
      <c r="AV236" s="1008"/>
      <c r="AW236" s="1008"/>
      <c r="AX236" s="1008"/>
      <c r="AY236" s="1008"/>
      <c r="AZ236" s="1008"/>
      <c r="BA236" s="1008"/>
      <c r="BB236" s="1008"/>
      <c r="BC236" s="1008"/>
      <c r="BD236" s="1008"/>
      <c r="BE236" s="1008"/>
      <c r="BF236" s="1008"/>
      <c r="BG236" s="1008"/>
      <c r="BH236" s="1008"/>
      <c r="BI236" s="1008"/>
      <c r="BJ236" s="1008"/>
      <c r="BK236" s="1008"/>
      <c r="BL236" s="1008"/>
      <c r="BM236" s="1008"/>
      <c r="BN236" s="1008"/>
      <c r="BO236" s="1008"/>
      <c r="BP236" s="1008"/>
      <c r="BQ236" s="1008"/>
      <c r="BR236" s="1008"/>
      <c r="BS236" s="1008"/>
      <c r="BT236" s="1008"/>
      <c r="BU236" s="1008"/>
      <c r="BV236" s="1008"/>
      <c r="BW236" s="1008"/>
      <c r="BX236" s="1008"/>
      <c r="BY236" s="1008"/>
      <c r="BZ236" s="1008"/>
      <c r="CA236" s="1008"/>
      <c r="CB236" s="1008"/>
      <c r="CC236" s="1008"/>
      <c r="CD236" s="1008"/>
      <c r="CE236" s="1008"/>
      <c r="CF236" s="1008"/>
      <c r="CG236" s="1008"/>
      <c r="CH236" s="1008"/>
      <c r="CI236" s="1008"/>
      <c r="CJ236" s="1008"/>
      <c r="CK236" s="1008"/>
      <c r="CL236" s="1008"/>
      <c r="CM236" s="1008"/>
      <c r="CN236" s="1008"/>
      <c r="CO236" s="1008"/>
      <c r="CP236" s="1008"/>
      <c r="CQ236" s="1008"/>
      <c r="CR236" s="1008"/>
      <c r="CS236" s="1008"/>
      <c r="CT236" s="1008"/>
      <c r="CU236" s="1008"/>
      <c r="CV236" s="1008"/>
      <c r="CW236" s="1008"/>
      <c r="CX236" s="1008"/>
      <c r="CY236" s="1008"/>
      <c r="CZ236" s="1008"/>
      <c r="DA236" s="1008"/>
      <c r="DB236" s="1008"/>
      <c r="DC236" s="1008"/>
      <c r="DD236" s="1008"/>
      <c r="DE236" s="1008"/>
      <c r="DF236" s="1008"/>
      <c r="DG236" s="1008"/>
      <c r="DH236" s="1008"/>
      <c r="DI236" s="1008"/>
      <c r="DJ236" s="1008"/>
      <c r="DK236" s="1008"/>
      <c r="DL236" s="1008"/>
      <c r="DM236" s="1008"/>
      <c r="DN236" s="1008"/>
      <c r="DO236" s="1008"/>
      <c r="DP236" s="1008"/>
      <c r="DQ236" s="1008"/>
      <c r="DR236" s="1008"/>
      <c r="DS236" s="1008"/>
      <c r="DT236" s="1008"/>
      <c r="DU236" s="1008"/>
      <c r="DV236" s="1008"/>
      <c r="DW236" s="1008"/>
      <c r="DX236" s="1008"/>
      <c r="DY236" s="1008"/>
      <c r="DZ236" s="1008"/>
      <c r="EA236" s="1008"/>
      <c r="EB236" s="1008"/>
      <c r="EC236" s="1008"/>
      <c r="ED236" s="1008"/>
      <c r="EE236" s="1008"/>
      <c r="EF236" s="1008"/>
      <c r="EG236" s="1008"/>
      <c r="EH236" s="1008"/>
      <c r="EI236" s="1008"/>
      <c r="EJ236" s="1008"/>
      <c r="EK236" s="1008"/>
      <c r="EL236" s="1008"/>
      <c r="EM236" s="1008"/>
      <c r="EN236" s="1008"/>
      <c r="EO236" s="1008"/>
      <c r="EP236" s="1008"/>
      <c r="EQ236" s="1008"/>
      <c r="ER236" s="1008"/>
      <c r="ES236" s="1008"/>
      <c r="ET236" s="1008"/>
      <c r="EU236" s="1008"/>
      <c r="EV236" s="1008"/>
      <c r="EW236" s="1008"/>
      <c r="EX236" s="1008"/>
      <c r="EY236" s="1008"/>
      <c r="EZ236" s="1008"/>
      <c r="FA236" s="1008"/>
      <c r="FB236" s="1008"/>
      <c r="FC236" s="1008"/>
      <c r="FD236" s="1008"/>
      <c r="FE236" s="1008"/>
      <c r="FF236" s="1008"/>
      <c r="FG236" s="1008"/>
      <c r="FH236" s="1008"/>
      <c r="FI236" s="1008"/>
      <c r="FJ236" s="1008"/>
      <c r="FK236" s="1008"/>
      <c r="FL236" s="1008"/>
      <c r="FM236" s="1008"/>
      <c r="FN236" s="1008"/>
      <c r="FO236" s="1008"/>
      <c r="FP236" s="1008"/>
      <c r="FQ236" s="1008"/>
      <c r="FR236" s="1008"/>
      <c r="FS236" s="1008"/>
      <c r="FT236" s="1008"/>
      <c r="FU236" s="1008"/>
      <c r="FV236" s="1008"/>
      <c r="FW236" s="1008"/>
      <c r="FX236" s="1008"/>
      <c r="FY236" s="1008"/>
      <c r="FZ236" s="1008"/>
      <c r="GA236" s="1008"/>
      <c r="GB236" s="1008"/>
      <c r="GC236" s="1008"/>
      <c r="GD236" s="1008"/>
      <c r="GE236" s="1008"/>
      <c r="GF236" s="1008"/>
      <c r="GG236" s="1008"/>
      <c r="GH236" s="1008"/>
      <c r="GI236" s="1008"/>
      <c r="GJ236" s="1008"/>
      <c r="GK236" s="1008"/>
      <c r="GL236" s="1008"/>
      <c r="GM236" s="1008"/>
      <c r="GN236" s="1008"/>
      <c r="GO236" s="1008"/>
      <c r="GP236" s="1008"/>
      <c r="GQ236" s="1008"/>
      <c r="GR236" s="1008"/>
      <c r="GS236" s="1008"/>
      <c r="GT236" s="1008"/>
      <c r="GU236" s="1008"/>
      <c r="GV236" s="1008"/>
      <c r="GW236" s="1008"/>
      <c r="GX236" s="1008"/>
      <c r="GY236" s="1008"/>
      <c r="GZ236" s="1008"/>
      <c r="HA236" s="1008"/>
      <c r="HB236" s="1008"/>
      <c r="HC236" s="1008"/>
      <c r="HD236" s="1008"/>
      <c r="HE236" s="1008"/>
      <c r="HF236" s="1008"/>
      <c r="HG236" s="1008"/>
      <c r="HH236" s="1008"/>
      <c r="HI236" s="1008"/>
      <c r="HJ236" s="1008"/>
      <c r="HK236" s="1008"/>
      <c r="HL236" s="1008"/>
      <c r="HM236" s="1008"/>
      <c r="HN236" s="1008"/>
      <c r="HO236" s="1008"/>
      <c r="HP236" s="1008"/>
      <c r="HQ236" s="1008"/>
      <c r="HR236" s="1008"/>
      <c r="HS236" s="1008"/>
      <c r="HT236" s="1008"/>
      <c r="HU236" s="1008"/>
      <c r="HV236" s="1008"/>
      <c r="HW236" s="1008"/>
      <c r="HX236" s="1008"/>
      <c r="HY236" s="1008"/>
      <c r="HZ236" s="1008"/>
      <c r="IA236" s="1008"/>
      <c r="IB236" s="1008"/>
      <c r="IC236" s="1008"/>
      <c r="ID236" s="1008"/>
      <c r="IE236" s="1008"/>
      <c r="IF236" s="1008"/>
      <c r="IG236" s="1008"/>
      <c r="IH236" s="1008"/>
      <c r="II236" s="1008"/>
      <c r="IJ236" s="1008"/>
      <c r="IK236" s="1008"/>
      <c r="IL236" s="1008"/>
      <c r="IM236" s="1008"/>
      <c r="IN236" s="1008"/>
      <c r="IO236" s="1008"/>
      <c r="IP236" s="1008"/>
      <c r="IQ236" s="1008"/>
      <c r="IR236" s="1008"/>
      <c r="IS236" s="1008"/>
      <c r="IT236" s="1008"/>
      <c r="IU236" s="1008"/>
      <c r="IV236" s="1008"/>
    </row>
    <row r="237" spans="1:256" ht="16.5" customHeight="1" x14ac:dyDescent="0.2">
      <c r="H237" s="1008"/>
    </row>
    <row r="238" spans="1:256" ht="16.5" customHeight="1" x14ac:dyDescent="0.2">
      <c r="H238" s="1008"/>
    </row>
    <row r="239" spans="1:256" ht="16.5" customHeight="1" x14ac:dyDescent="0.2">
      <c r="H239" s="1008"/>
    </row>
  </sheetData>
  <mergeCells count="10">
    <mergeCell ref="A212:D212"/>
    <mergeCell ref="H172:H174"/>
    <mergeCell ref="H175:H177"/>
    <mergeCell ref="H179:H183"/>
    <mergeCell ref="H136:H138"/>
    <mergeCell ref="H140:H142"/>
    <mergeCell ref="H143:H145"/>
    <mergeCell ref="H150:H155"/>
    <mergeCell ref="H158:H161"/>
    <mergeCell ref="H162:H165"/>
  </mergeCells>
  <phoneticPr fontId="8" type="noConversion"/>
  <printOptions horizontalCentered="1"/>
  <pageMargins left="0" right="0" top="0.5" bottom="0.25" header="0.25" footer="0.25"/>
  <headerFooter alignWithMargins="0"/>
  <rowBreaks count="6" manualBreakCount="6">
    <brk id="36" max="6" man="1"/>
    <brk id="70" max="6" man="1"/>
    <brk id="102" max="6" man="1"/>
    <brk id="131" max="6" man="1"/>
    <brk id="166" max="16383" man="1"/>
    <brk id="185" max="16383" man="1"/>
  </rowBreaks>
  <ignoredErrors>
    <ignoredError sqref="E129:G129" evalError="1"/>
  </ignoredErrors>
  <drawing r:id="rId1"/>
  <legacyDrawing r:id="rId2"/>
  <extLst>
    <ext xmlns:mx="http://schemas.microsoft.com/office/mac/excel/2008/main" uri="http://schemas.microsoft.com/office/mac/excel/2008/main">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sheetPr>
  <dimension ref="A1:AG176"/>
  <sheetViews>
    <sheetView zoomScaleSheetLayoutView="100" workbookViewId="0">
      <selection activeCell="F52" sqref="F52"/>
    </sheetView>
  </sheetViews>
  <sheetFormatPr defaultColWidth="9.140625" defaultRowHeight="16.5" customHeight="1" x14ac:dyDescent="0.2"/>
  <cols>
    <col min="1" max="1" width="40.5703125" style="682" customWidth="1"/>
    <col min="2" max="6" width="9.42578125" style="682" customWidth="1"/>
    <col min="7" max="7" width="10" style="682" bestFit="1" customWidth="1"/>
    <col min="8" max="256" width="8.5703125" style="682" customWidth="1"/>
    <col min="257" max="16384" width="9.140625" style="682"/>
  </cols>
  <sheetData>
    <row r="1" spans="1:26" s="1169" customFormat="1" ht="16.5" customHeight="1" x14ac:dyDescent="0.2">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1169" customFormat="1" ht="16.5" customHeight="1" x14ac:dyDescent="0.2"/>
    <row r="3" spans="1:26" s="1169" customFormat="1" ht="16.5" customHeight="1" x14ac:dyDescent="0.2"/>
    <row r="4" spans="1:26" s="1169" customFormat="1" ht="16.5" customHeight="1" x14ac:dyDescent="0.2"/>
    <row r="5" spans="1:26" s="1169" customFormat="1" ht="16.5" customHeight="1" x14ac:dyDescent="0.2"/>
    <row r="6" spans="1:26" s="710" customFormat="1" ht="16.5" customHeight="1" x14ac:dyDescent="0.2">
      <c r="A6" s="709" t="s">
        <v>499</v>
      </c>
    </row>
    <row r="7" spans="1:26" s="677" customFormat="1" ht="16.5" customHeight="1" x14ac:dyDescent="0.2"/>
    <row r="8" spans="1:26" s="710" customFormat="1" ht="16.5" customHeight="1" x14ac:dyDescent="0.2">
      <c r="A8" s="709" t="s">
        <v>666</v>
      </c>
    </row>
    <row r="9" spans="1:26" s="688" customFormat="1" ht="16.5" customHeight="1" x14ac:dyDescent="0.2">
      <c r="A9" s="691" t="s">
        <v>41</v>
      </c>
      <c r="B9" s="689" t="s">
        <v>606</v>
      </c>
      <c r="C9" s="690"/>
      <c r="D9" s="690"/>
      <c r="E9" s="690"/>
      <c r="F9" s="690"/>
      <c r="G9" s="47" t="s">
        <v>204</v>
      </c>
      <c r="H9" s="1169"/>
      <c r="I9" s="1169"/>
      <c r="J9" s="1169"/>
      <c r="K9" s="1169"/>
      <c r="L9" s="1169"/>
      <c r="M9" s="1169"/>
      <c r="N9" s="1169"/>
      <c r="O9" s="1169"/>
      <c r="P9" s="1169"/>
      <c r="Q9" s="1169"/>
      <c r="R9" s="1169"/>
      <c r="S9" s="1169"/>
      <c r="T9" s="1169"/>
      <c r="U9" s="1169"/>
      <c r="V9" s="1169"/>
      <c r="W9" s="1169"/>
      <c r="X9" s="1169"/>
      <c r="Y9" s="1169"/>
      <c r="Z9" s="1169"/>
    </row>
    <row r="10" spans="1:26" s="688" customFormat="1" ht="16.5" customHeight="1" x14ac:dyDescent="0.2">
      <c r="A10" s="18" t="s">
        <v>725</v>
      </c>
      <c r="B10" s="628">
        <f>'Common-size FS'!C9</f>
        <v>2011</v>
      </c>
      <c r="C10" s="628">
        <f>'Common-size FS'!D9</f>
        <v>2012</v>
      </c>
      <c r="D10" s="628">
        <f>'Common-size FS'!E9</f>
        <v>2013</v>
      </c>
      <c r="E10" s="628">
        <f>'Common-size FS'!F9</f>
        <v>2014</v>
      </c>
      <c r="F10" s="628">
        <f>'Common-size FS'!G9</f>
        <v>2015</v>
      </c>
      <c r="G10" s="628">
        <f>F10+1</f>
        <v>2016</v>
      </c>
      <c r="H10" s="18" t="s">
        <v>1067</v>
      </c>
      <c r="I10" s="1169"/>
      <c r="J10" s="1169"/>
      <c r="K10" s="1169"/>
      <c r="L10" s="1169"/>
      <c r="M10" s="1169"/>
      <c r="N10" s="1169"/>
      <c r="O10" s="1169"/>
      <c r="P10" s="1169"/>
      <c r="Q10" s="1169"/>
      <c r="R10" s="1169"/>
      <c r="S10" s="1169"/>
      <c r="T10" s="1169"/>
      <c r="U10" s="1169"/>
      <c r="V10" s="1169"/>
      <c r="W10" s="1169"/>
      <c r="X10" s="1169"/>
      <c r="Y10" s="1169"/>
      <c r="Z10" s="1169"/>
    </row>
    <row r="11" spans="1:26" s="683" customFormat="1" ht="16.5" customHeight="1" x14ac:dyDescent="0.2">
      <c r="A11" s="33" t="s">
        <v>654</v>
      </c>
      <c r="B11" s="558">
        <f>'Common-size FS'!C71/'Common-size FS'!B71-1</f>
        <v>0.12134020618556707</v>
      </c>
      <c r="C11" s="558">
        <f>'Common-size FS'!D71/'Common-size FS'!C71-1</f>
        <v>0.11685207318194357</v>
      </c>
      <c r="D11" s="558">
        <f>'Common-size FS'!E71/'Common-size FS'!D71-1</f>
        <v>3.2268686203490216E-2</v>
      </c>
      <c r="E11" s="558">
        <f>'Common-size FS'!F71/'Common-size FS'!E71-1</f>
        <v>7.7033492822966565E-2</v>
      </c>
      <c r="F11" s="558">
        <f>'Common-size FS'!G71/'Common-size FS'!F71-1</f>
        <v>6.4193691692581156E-2</v>
      </c>
      <c r="G11" s="443">
        <f>G44/'Common-size FS'!G71-1</f>
        <v>4.8493703471787386E-2</v>
      </c>
      <c r="H11" s="1257" t="s">
        <v>745</v>
      </c>
    </row>
    <row r="12" spans="1:26" ht="16.5" customHeight="1" x14ac:dyDescent="0.2">
      <c r="A12" s="31" t="s">
        <v>655</v>
      </c>
      <c r="B12" s="733" t="s">
        <v>47</v>
      </c>
      <c r="C12" s="733" t="s">
        <v>47</v>
      </c>
      <c r="D12" s="733" t="s">
        <v>47</v>
      </c>
      <c r="E12" s="733" t="s">
        <v>47</v>
      </c>
      <c r="F12" s="558">
        <f>('Common-size FS'!G71/'Common-size FS'!B71)^(1/5)-1</f>
        <v>8.1820329113474477E-2</v>
      </c>
      <c r="G12" s="733" t="s">
        <v>47</v>
      </c>
      <c r="H12" s="112" t="s">
        <v>707</v>
      </c>
    </row>
    <row r="13" spans="1:26" ht="16.5" customHeight="1" x14ac:dyDescent="0.2">
      <c r="A13" s="31" t="str">
        <f>'Financial Ratios'!A78</f>
        <v>Gross margin ratio</v>
      </c>
      <c r="B13" s="479">
        <f>'Financial Ratios'!C78</f>
        <v>0.39</v>
      </c>
      <c r="C13" s="479">
        <f>'Financial Ratios'!D78</f>
        <v>0.38100000000000001</v>
      </c>
      <c r="D13" s="479">
        <f>'Financial Ratios'!E78</f>
        <v>0.379</v>
      </c>
      <c r="E13" s="479">
        <f>'Financial Ratios'!F78</f>
        <v>0.371</v>
      </c>
      <c r="F13" s="479">
        <f>'Financial Ratios'!G78</f>
        <v>0.35299999999999998</v>
      </c>
      <c r="G13" s="732">
        <v>0.35599999999999998</v>
      </c>
      <c r="H13" s="31" t="s">
        <v>668</v>
      </c>
    </row>
    <row r="14" spans="1:26" ht="16.5" customHeight="1" x14ac:dyDescent="0.2">
      <c r="A14" s="112" t="str">
        <f>'Financial Ratios'!A81</f>
        <v xml:space="preserve"> SG&amp;A-to-sales ratio</v>
      </c>
      <c r="B14" s="479">
        <f>'Financial Ratios'!C81</f>
        <v>0.22</v>
      </c>
      <c r="C14" s="479">
        <f>'Financial Ratios'!D81</f>
        <v>0.218</v>
      </c>
      <c r="D14" s="479">
        <f>'Financial Ratios'!E81</f>
        <v>0.21299999999999999</v>
      </c>
      <c r="E14" s="479">
        <f>'Financial Ratios'!F81</f>
        <v>0.214</v>
      </c>
      <c r="F14" s="479">
        <f>'Financial Ratios'!G81</f>
        <v>0.217</v>
      </c>
      <c r="G14" s="732">
        <f t="shared" ref="G14:G17" si="0">ROUND(AVERAGE(B14:F14),3)</f>
        <v>0.216</v>
      </c>
      <c r="H14" s="31" t="s">
        <v>668</v>
      </c>
    </row>
    <row r="15" spans="1:26" ht="16.5" customHeight="1" x14ac:dyDescent="0.2">
      <c r="A15" s="112" t="str">
        <f>'Financial Ratios'!A84</f>
        <v xml:space="preserve"> R&amp;D-to-sales ratio</v>
      </c>
      <c r="B15" s="479">
        <f>'Financial Ratios'!C84</f>
        <v>0</v>
      </c>
      <c r="C15" s="479">
        <f>'Financial Ratios'!D84</f>
        <v>0</v>
      </c>
      <c r="D15" s="479">
        <f>'Financial Ratios'!E84</f>
        <v>0</v>
      </c>
      <c r="E15" s="479">
        <f>'Financial Ratios'!F84</f>
        <v>0</v>
      </c>
      <c r="F15" s="479">
        <f>'Financial Ratios'!G84</f>
        <v>0</v>
      </c>
      <c r="G15" s="732">
        <f t="shared" si="0"/>
        <v>0</v>
      </c>
      <c r="H15" s="31" t="s">
        <v>668</v>
      </c>
    </row>
    <row r="16" spans="1:26" ht="16.5" customHeight="1" x14ac:dyDescent="0.2">
      <c r="A16" s="112" t="str">
        <f>'Financial Ratios'!A87</f>
        <v xml:space="preserve"> Advertising-to-sales ratio</v>
      </c>
      <c r="B16" s="479">
        <f>'Financial Ratios'!C87</f>
        <v>1.2E-2</v>
      </c>
      <c r="C16" s="479">
        <f>'Financial Ratios'!D87</f>
        <v>1.2999999999999999E-2</v>
      </c>
      <c r="D16" s="479">
        <f>'Financial Ratios'!E87</f>
        <v>1.2999999999999999E-2</v>
      </c>
      <c r="E16" s="479">
        <f>'Financial Ratios'!F87</f>
        <v>1.4E-2</v>
      </c>
      <c r="F16" s="479">
        <f>'Financial Ratios'!G87</f>
        <v>1.6E-2</v>
      </c>
      <c r="G16" s="732">
        <f t="shared" si="0"/>
        <v>1.4E-2</v>
      </c>
      <c r="H16" s="31" t="s">
        <v>668</v>
      </c>
    </row>
    <row r="17" spans="1:8" ht="16.5" customHeight="1" x14ac:dyDescent="0.2">
      <c r="A17" s="112" t="str">
        <f>'Financial Ratios'!A90</f>
        <v xml:space="preserve"> Other operating expense-to-sales ratio</v>
      </c>
      <c r="B17" s="479">
        <f>'Financial Ratios'!C90</f>
        <v>0</v>
      </c>
      <c r="C17" s="479">
        <f>'Financial Ratios'!D90</f>
        <v>0</v>
      </c>
      <c r="D17" s="479">
        <f>'Financial Ratios'!E90</f>
        <v>0</v>
      </c>
      <c r="E17" s="479">
        <f>'Financial Ratios'!F90</f>
        <v>0</v>
      </c>
      <c r="F17" s="479">
        <f>'Financial Ratios'!G90</f>
        <v>0</v>
      </c>
      <c r="G17" s="732">
        <f t="shared" si="0"/>
        <v>0</v>
      </c>
      <c r="H17" s="31" t="s">
        <v>668</v>
      </c>
    </row>
    <row r="18" spans="1:8" ht="16.5" customHeight="1" x14ac:dyDescent="0.2">
      <c r="A18" s="31" t="s">
        <v>680</v>
      </c>
      <c r="B18" s="479">
        <f>'Common-size FS'!C78/'Common-size FS'!B22</f>
        <v>7.6224734498115787E-2</v>
      </c>
      <c r="C18" s="479">
        <f>'Common-size FS'!D78/'Common-size FS'!C22</f>
        <v>7.115736183377866E-2</v>
      </c>
      <c r="D18" s="479">
        <f>'Common-size FS'!E78/'Common-size FS'!D22</f>
        <v>7.1906988499936819E-2</v>
      </c>
      <c r="E18" s="479">
        <f>'Common-size FS'!F78/'Common-size FS'!E22</f>
        <v>7.2959928162532273E-2</v>
      </c>
      <c r="F18" s="479">
        <f>'Common-size FS'!G78/'Common-size FS'!F22</f>
        <v>7.5223033252230329E-2</v>
      </c>
      <c r="G18" s="443">
        <f>ROUND(AVERAGE(C18:F18),3)</f>
        <v>7.2999999999999995E-2</v>
      </c>
      <c r="H18" s="31" t="s">
        <v>681</v>
      </c>
    </row>
    <row r="19" spans="1:8" ht="16.5" customHeight="1" x14ac:dyDescent="0.2">
      <c r="A19" s="31" t="str">
        <f>'Common-size FS'!A83</f>
        <v>Interest expense, net of interest income</v>
      </c>
      <c r="B19" s="120">
        <f>-'Common-size FS'!C83</f>
        <v>180</v>
      </c>
      <c r="C19" s="120">
        <f>-'Common-size FS'!D83</f>
        <v>209</v>
      </c>
      <c r="D19" s="120">
        <f>-'Common-size FS'!E83</f>
        <v>238</v>
      </c>
      <c r="E19" s="120">
        <f>-'Common-size FS'!F83</f>
        <v>232</v>
      </c>
      <c r="F19" s="120">
        <f>-'Common-size FS'!G83</f>
        <v>240</v>
      </c>
      <c r="G19" s="31">
        <v>0</v>
      </c>
      <c r="H19" s="32" t="s">
        <v>757</v>
      </c>
    </row>
    <row r="20" spans="1:8" s="718" customFormat="1" ht="16.5" customHeight="1" x14ac:dyDescent="0.2">
      <c r="A20" s="1258" t="s">
        <v>756</v>
      </c>
      <c r="B20" s="631">
        <f>AVERAGE(SUM('Common-size FS'!B40:B42,'Common-size FS'!B45:B47),SUM('Common-size FS'!C40:C42,'Common-size FS'!C45:C47))</f>
        <v>3639.5</v>
      </c>
      <c r="C20" s="631">
        <f>AVERAGE(SUM('Common-size FS'!C40:C42,'Common-size FS'!C45:C47),SUM('Common-size FS'!D40:D42,'Common-size FS'!D45:D47))</f>
        <v>4449.5</v>
      </c>
      <c r="D20" s="631">
        <f>AVERAGE(SUM('Common-size FS'!D40:D42,'Common-size FS'!D45:D47),SUM('Common-size FS'!E40:E42,'Common-size FS'!E45:E47))</f>
        <v>4539.5</v>
      </c>
      <c r="E20" s="631">
        <f>AVERAGE(SUM('Common-size FS'!E40:E42,'Common-size FS'!E45:E47),SUM('Common-size FS'!F40:F42,'Common-size FS'!F45:F47))</f>
        <v>4817.5</v>
      </c>
      <c r="F20" s="631">
        <f>AVERAGE(SUM('Common-size FS'!F40:F42,'Common-size FS'!F45:F47),SUM('Common-size FS'!G40:G42,'Common-size FS'!G45:G47))</f>
        <v>4986</v>
      </c>
      <c r="G20" s="753">
        <f>ROUND(AVERAGE(SUM(F92,F93,F96,F97),SUM(180+10+2320+2350)),-1)</f>
        <v>4940</v>
      </c>
      <c r="H20" s="32" t="s">
        <v>1073</v>
      </c>
    </row>
    <row r="21" spans="1:8" ht="16.5" customHeight="1" x14ac:dyDescent="0.2">
      <c r="A21" s="31" t="s">
        <v>673</v>
      </c>
      <c r="B21" s="479">
        <f>B19/B20</f>
        <v>4.9457343041626599E-2</v>
      </c>
      <c r="C21" s="479">
        <f>C19/C20</f>
        <v>4.6971569839307788E-2</v>
      </c>
      <c r="D21" s="479">
        <f>D19/D20</f>
        <v>5.2428681572860444E-2</v>
      </c>
      <c r="E21" s="479">
        <f>E19/E20</f>
        <v>4.8157758173326411E-2</v>
      </c>
      <c r="F21" s="479">
        <f>F19/F20</f>
        <v>4.8134777376654635E-2</v>
      </c>
      <c r="G21" s="479">
        <v>4.8000000000000001E-2</v>
      </c>
      <c r="H21" s="31" t="s">
        <v>674</v>
      </c>
    </row>
    <row r="22" spans="1:8" ht="16.5" customHeight="1" x14ac:dyDescent="0.2">
      <c r="A22" s="31" t="s">
        <v>337</v>
      </c>
      <c r="B22" s="479">
        <f>B67/B66</f>
        <v>0.3892433910665451</v>
      </c>
      <c r="C22" s="479">
        <f>C67/C66</f>
        <v>0.37918552036199094</v>
      </c>
      <c r="D22" s="479">
        <f>D67/D66</f>
        <v>0.38280542986425337</v>
      </c>
      <c r="E22" s="479">
        <f>E67/E66</f>
        <v>0.39238095238095239</v>
      </c>
      <c r="F22" s="479">
        <f>F67/F66</f>
        <v>0.38533333333333336</v>
      </c>
      <c r="G22" s="174">
        <f>'Estimate L-R Avg Tax Rate'!H20</f>
        <v>0.38052313571138119</v>
      </c>
      <c r="H22" s="31" t="s">
        <v>675</v>
      </c>
    </row>
    <row r="23" spans="1:8" ht="16.5" customHeight="1" x14ac:dyDescent="0.2">
      <c r="A23" s="12" t="s">
        <v>726</v>
      </c>
      <c r="B23" s="1208"/>
      <c r="C23" s="1208"/>
      <c r="D23" s="1208"/>
      <c r="E23" s="1208"/>
      <c r="F23" s="1208"/>
      <c r="G23" s="1209"/>
    </row>
    <row r="24" spans="1:8" ht="16.5" customHeight="1" x14ac:dyDescent="0.2">
      <c r="A24" s="31" t="str">
        <f>'Financial Ratios'!A105</f>
        <v>AR turnover ratio</v>
      </c>
      <c r="B24" s="110">
        <f>'Financial Ratios'!C105</f>
        <v>5.4</v>
      </c>
      <c r="C24" s="110">
        <f>'Financial Ratios'!D105</f>
        <v>5.8</v>
      </c>
      <c r="D24" s="110">
        <f>'Financial Ratios'!E105</f>
        <v>5.8</v>
      </c>
      <c r="E24" s="110">
        <f>'Financial Ratios'!F105</f>
        <v>6</v>
      </c>
      <c r="F24" s="110">
        <f>'Financial Ratios'!G105</f>
        <v>11.5</v>
      </c>
      <c r="G24" s="738">
        <v>41.1</v>
      </c>
      <c r="H24" s="31" t="s">
        <v>668</v>
      </c>
    </row>
    <row r="25" spans="1:8" ht="16.5" customHeight="1" x14ac:dyDescent="0.2">
      <c r="A25" s="31" t="str">
        <f>'Financial Ratios'!A109</f>
        <v>Inventory turnover ratio</v>
      </c>
      <c r="B25" s="110">
        <f>'Financial Ratios'!C109</f>
        <v>6.2</v>
      </c>
      <c r="C25" s="110">
        <f>'Financial Ratios'!D109</f>
        <v>6</v>
      </c>
      <c r="D25" s="110">
        <f>'Financial Ratios'!E109</f>
        <v>5.4</v>
      </c>
      <c r="E25" s="110">
        <f>'Financial Ratios'!F109</f>
        <v>5.2</v>
      </c>
      <c r="F25" s="110">
        <f>'Financial Ratios'!G109</f>
        <v>5.0999999999999996</v>
      </c>
      <c r="G25" s="738">
        <f>ROUND(AVERAGE(D25:F25),1)</f>
        <v>5.2</v>
      </c>
      <c r="H25" s="31" t="s">
        <v>668</v>
      </c>
    </row>
    <row r="26" spans="1:8" ht="16.5" customHeight="1" x14ac:dyDescent="0.2">
      <c r="A26" s="31" t="str">
        <f>'Financial Ratios'!A113</f>
        <v>AP and accrued liabilities turnover ratio</v>
      </c>
      <c r="B26" s="110">
        <f>'Financial Ratios'!C113</f>
        <v>4.8</v>
      </c>
      <c r="C26" s="110">
        <f>'Financial Ratios'!D113</f>
        <v>3.8</v>
      </c>
      <c r="D26" s="110">
        <f>'Financial Ratios'!E113</f>
        <v>3.6</v>
      </c>
      <c r="E26" s="110">
        <f>'Financial Ratios'!F113</f>
        <v>3.5</v>
      </c>
      <c r="F26" s="110">
        <f>'Financial Ratios'!G113</f>
        <v>3.6</v>
      </c>
      <c r="G26" s="738">
        <f>ROUND(AVERAGE(D26:F26),1)</f>
        <v>3.6</v>
      </c>
      <c r="H26" s="31" t="s">
        <v>668</v>
      </c>
    </row>
    <row r="27" spans="1:8" ht="16.5" customHeight="1" x14ac:dyDescent="0.2">
      <c r="A27" s="31" t="s">
        <v>693</v>
      </c>
      <c r="B27" s="110">
        <f>IF(B91&lt;1,0,B67/B91)</f>
        <v>0</v>
      </c>
      <c r="C27" s="110">
        <f t="shared" ref="C27:F27" si="1">IF(C91&lt;1,0,C67/C91)</f>
        <v>0</v>
      </c>
      <c r="D27" s="110">
        <f t="shared" si="1"/>
        <v>0</v>
      </c>
      <c r="E27" s="110">
        <f t="shared" si="1"/>
        <v>0</v>
      </c>
      <c r="F27" s="110">
        <f t="shared" si="1"/>
        <v>0</v>
      </c>
      <c r="G27" s="738">
        <f>ROUND(AVERAGE(B27:F27),1)</f>
        <v>0</v>
      </c>
      <c r="H27" s="31" t="s">
        <v>692</v>
      </c>
    </row>
    <row r="28" spans="1:8" ht="16.5" customHeight="1" x14ac:dyDescent="0.2">
      <c r="A28" s="31" t="s">
        <v>732</v>
      </c>
      <c r="B28" s="141">
        <f>-('Common-size FS'!C132+'Common-size FS'!C133)/B44</f>
        <v>4.6979865771812082E-2</v>
      </c>
      <c r="C28" s="141">
        <f>-('Common-size FS'!D132+'Common-size FS'!D133)/C44</f>
        <v>4.2229173526506424E-2</v>
      </c>
      <c r="D28" s="141">
        <f>-('Common-size FS'!E132+'Common-size FS'!E133)/D44</f>
        <v>6.403508771929825E-2</v>
      </c>
      <c r="E28" s="141">
        <f>-('Common-size FS'!F132+'Common-size FS'!F133)/E44</f>
        <v>6.3749444691248339E-2</v>
      </c>
      <c r="F28" s="141">
        <f>-('Common-size FS'!G132+'Common-size FS'!G133)/F44</f>
        <v>7.5280038961942533E-2</v>
      </c>
      <c r="G28" s="743">
        <v>7.4999999999999997E-2</v>
      </c>
      <c r="H28" s="31" t="s">
        <v>721</v>
      </c>
    </row>
    <row r="29" spans="1:8" ht="16.5" customHeight="1" x14ac:dyDescent="0.2">
      <c r="A29" s="31" t="s">
        <v>697</v>
      </c>
      <c r="B29" s="146">
        <f>B87/B106</f>
        <v>5.5138036809815949</v>
      </c>
      <c r="C29" s="146">
        <f>C87/C106</f>
        <v>5.8860428646105589</v>
      </c>
      <c r="D29" s="146">
        <f>D87/D106</f>
        <v>5.8961538461538465</v>
      </c>
      <c r="E29" s="146">
        <f>E87/E106</f>
        <v>5.3946721311475407</v>
      </c>
      <c r="F29" s="146">
        <f>F87/F106</f>
        <v>13.683122847301952</v>
      </c>
      <c r="G29" s="755">
        <v>11</v>
      </c>
      <c r="H29" s="31" t="s">
        <v>698</v>
      </c>
    </row>
    <row r="30" spans="1:8" ht="16.5" customHeight="1" x14ac:dyDescent="0.2">
      <c r="A30" s="31" t="str">
        <f>'Financial Ratios'!A136</f>
        <v>Dividends declared per share of common stock</v>
      </c>
      <c r="B30" s="741">
        <f>'Financial Ratios'!C136</f>
        <v>0.92</v>
      </c>
      <c r="C30" s="741">
        <f>'Financial Ratios'!D136</f>
        <v>1.08</v>
      </c>
      <c r="D30" s="741">
        <f>'Financial Ratios'!E136</f>
        <v>1.2</v>
      </c>
      <c r="E30" s="741">
        <f>'Financial Ratios'!F136</f>
        <v>1.32</v>
      </c>
      <c r="F30" s="741">
        <f>'Financial Ratios'!G136</f>
        <v>6.33</v>
      </c>
      <c r="G30" s="742">
        <v>1.48</v>
      </c>
      <c r="H30" s="31" t="s">
        <v>719</v>
      </c>
    </row>
    <row r="31" spans="1:8" s="683" customFormat="1" ht="16.5" customHeight="1" x14ac:dyDescent="0.2">
      <c r="A31" s="19" t="s">
        <v>690</v>
      </c>
    </row>
    <row r="32" spans="1:8" ht="16.5" customHeight="1" x14ac:dyDescent="0.2">
      <c r="A32" s="112" t="str">
        <f>'Financial Ratios'!A11</f>
        <v xml:space="preserve"> Current (working capital) ratio</v>
      </c>
      <c r="B32" s="110">
        <f>'Financial Ratios'!C11</f>
        <v>1.7</v>
      </c>
      <c r="C32" s="110">
        <f>'Financial Ratios'!D11</f>
        <v>1.7</v>
      </c>
      <c r="D32" s="110">
        <f>'Financial Ratios'!E11</f>
        <v>1.6</v>
      </c>
      <c r="E32" s="110">
        <f>'Financial Ratios'!F11</f>
        <v>1.5</v>
      </c>
      <c r="F32" s="110">
        <f>'Financial Ratios'!G11</f>
        <v>1</v>
      </c>
      <c r="G32" s="110">
        <f>G81/G95</f>
        <v>0.95825242718446602</v>
      </c>
      <c r="H32" s="31" t="s">
        <v>722</v>
      </c>
    </row>
    <row r="33" spans="1:26" ht="16.5" customHeight="1" x14ac:dyDescent="0.2">
      <c r="A33" s="112" t="str">
        <f>'Financial Ratios'!A14</f>
        <v xml:space="preserve"> Acid-test (quick) ratio</v>
      </c>
      <c r="B33" s="110">
        <f>'Financial Ratios'!C14</f>
        <v>1</v>
      </c>
      <c r="C33" s="110">
        <f>'Financial Ratios'!D14</f>
        <v>0.9</v>
      </c>
      <c r="D33" s="110">
        <f>'Financial Ratios'!E14</f>
        <v>0.8</v>
      </c>
      <c r="E33" s="110">
        <f>'Financial Ratios'!F14</f>
        <v>0.7</v>
      </c>
      <c r="F33" s="110">
        <f>'Financial Ratios'!G14</f>
        <v>0.2</v>
      </c>
      <c r="G33" s="110">
        <f>SUM(G76:G78)/G95</f>
        <v>0.23009708737864076</v>
      </c>
      <c r="H33" s="31" t="s">
        <v>722</v>
      </c>
    </row>
    <row r="34" spans="1:26" ht="16.5" customHeight="1" x14ac:dyDescent="0.2">
      <c r="A34" s="112" t="str">
        <f>'Financial Ratios'!A51</f>
        <v xml:space="preserve"> Times interest earned (interest coverage) ratio</v>
      </c>
      <c r="B34" s="110">
        <f>'Financial Ratios'!C51</f>
        <v>7.1</v>
      </c>
      <c r="C34" s="110">
        <f>'Financial Ratios'!D51</f>
        <v>6.3</v>
      </c>
      <c r="D34" s="110">
        <f>'Financial Ratios'!E51</f>
        <v>5.6</v>
      </c>
      <c r="E34" s="110">
        <f>'Financial Ratios'!F51</f>
        <v>5.5</v>
      </c>
      <c r="F34" s="110">
        <f>'Financial Ratios'!G51</f>
        <v>4.0999999999999996</v>
      </c>
      <c r="G34" s="754">
        <f>(G66-G56)/-G56</f>
        <v>4.5</v>
      </c>
      <c r="H34" s="31" t="s">
        <v>722</v>
      </c>
    </row>
    <row r="35" spans="1:26" ht="16.5" customHeight="1" x14ac:dyDescent="0.2">
      <c r="A35" s="112" t="str">
        <f>'Financial Ratios'!A55</f>
        <v xml:space="preserve"> OCF-to-L-T debt ratio</v>
      </c>
      <c r="B35" s="146">
        <f>'Financial Ratios'!C55</f>
        <v>0.24</v>
      </c>
      <c r="C35" s="146">
        <f>'Financial Ratios'!D55</f>
        <v>0.2</v>
      </c>
      <c r="D35" s="146">
        <f>'Financial Ratios'!E55</f>
        <v>0.22</v>
      </c>
      <c r="E35" s="146">
        <f>'Financial Ratios'!F55</f>
        <v>0.2</v>
      </c>
      <c r="F35" s="146">
        <f>'Financial Ratios'!G55</f>
        <v>0.39</v>
      </c>
      <c r="G35" s="146">
        <f>G123/G99</f>
        <v>0.29173553719008266</v>
      </c>
      <c r="H35" s="31" t="s">
        <v>722</v>
      </c>
    </row>
    <row r="36" spans="1:26" ht="16.5" customHeight="1" x14ac:dyDescent="0.2">
      <c r="A36" s="31" t="s">
        <v>723</v>
      </c>
      <c r="B36" s="141">
        <f>'Financial Ratios'!C69</f>
        <v>0.33700000000000002</v>
      </c>
      <c r="C36" s="141">
        <f>'Financial Ratios'!D69</f>
        <v>0.35499999999999998</v>
      </c>
      <c r="D36" s="141">
        <f>'Financial Ratios'!E69</f>
        <v>0.34200000000000003</v>
      </c>
      <c r="E36" s="141">
        <f>'Financial Ratios'!F69</f>
        <v>0.28199999999999997</v>
      </c>
      <c r="F36" s="141">
        <f>'Financial Ratios'!G69</f>
        <v>0.27800000000000002</v>
      </c>
      <c r="G36" s="141">
        <f>(G70+G165)/AVERAGE(F106:G106)</f>
        <v>0.52235057759919634</v>
      </c>
      <c r="H36" s="31" t="s">
        <v>722</v>
      </c>
    </row>
    <row r="37" spans="1:26" ht="16.5" customHeight="1" x14ac:dyDescent="0.2">
      <c r="A37" s="112" t="str">
        <f>'Financial Ratios'!A96</f>
        <v xml:space="preserve"> Pre-tax operating margin ratio</v>
      </c>
      <c r="B37" s="141">
        <f>'Financial Ratios'!C96</f>
        <v>0.10100000000000001</v>
      </c>
      <c r="C37" s="141">
        <f>'Financial Ratios'!D96</f>
        <v>9.0999999999999998E-2</v>
      </c>
      <c r="D37" s="141">
        <f>'Financial Ratios'!E96</f>
        <v>8.7999999999999995E-2</v>
      </c>
      <c r="E37" s="141">
        <f>'Financial Ratios'!F96</f>
        <v>7.8E-2</v>
      </c>
      <c r="F37" s="141">
        <f>'Financial Ratios'!G96</f>
        <v>5.1999999999999998E-2</v>
      </c>
      <c r="G37" s="141">
        <f>G66/G44</f>
        <v>5.5739880557398806E-2</v>
      </c>
      <c r="H37" s="31" t="s">
        <v>722</v>
      </c>
    </row>
    <row r="38" spans="1:26" ht="16.5" customHeight="1" x14ac:dyDescent="0.2">
      <c r="A38" s="31" t="str">
        <f>'RNOA &amp; ROCE Analysis'!A143</f>
        <v>NOA turnover</v>
      </c>
      <c r="B38" s="146">
        <f>'RNOA &amp; ROCE Analysis'!C143</f>
        <v>2.0299999999999998</v>
      </c>
      <c r="C38" s="146">
        <f>'RNOA &amp; ROCE Analysis'!D143</f>
        <v>2.0699999999999998</v>
      </c>
      <c r="D38" s="146">
        <f>'RNOA &amp; ROCE Analysis'!E143</f>
        <v>2.02</v>
      </c>
      <c r="E38" s="146">
        <f>'RNOA &amp; ROCE Analysis'!F143</f>
        <v>1.92</v>
      </c>
      <c r="F38" s="146">
        <f>'RNOA &amp; ROCE Analysis'!G143</f>
        <v>2.16</v>
      </c>
      <c r="G38" s="146">
        <f>G44/(((F87-F77-F90-F91-F94-F98)+(G87-G77-G90-G91-G94-G98))/2)</f>
        <v>2.5188032759485206</v>
      </c>
      <c r="H38" s="31" t="s">
        <v>722</v>
      </c>
    </row>
    <row r="39" spans="1:26" ht="6" customHeight="1" x14ac:dyDescent="0.2"/>
    <row r="40" spans="1:26" s="685" customFormat="1" ht="16.5" customHeight="1" x14ac:dyDescent="0.2"/>
    <row r="41" spans="1:26" s="710" customFormat="1" ht="16.5" customHeight="1" x14ac:dyDescent="0.2">
      <c r="A41" s="709" t="s">
        <v>573</v>
      </c>
    </row>
    <row r="42" spans="1:26" s="688" customFormat="1" ht="16.5" customHeight="1" x14ac:dyDescent="0.2">
      <c r="A42" s="54" t="s">
        <v>241</v>
      </c>
      <c r="B42" s="689" t="s">
        <v>606</v>
      </c>
      <c r="C42" s="690"/>
      <c r="D42" s="690"/>
      <c r="E42" s="690"/>
      <c r="F42" s="690"/>
      <c r="G42" s="47" t="s">
        <v>204</v>
      </c>
      <c r="H42" s="1169"/>
      <c r="I42" s="1169"/>
      <c r="J42" s="1169"/>
      <c r="K42" s="1169"/>
      <c r="L42" s="1169"/>
      <c r="M42" s="1169"/>
      <c r="N42" s="1169"/>
      <c r="O42" s="1169"/>
      <c r="P42" s="1169"/>
      <c r="Q42" s="1169"/>
      <c r="R42" s="1169"/>
      <c r="S42" s="1169"/>
      <c r="T42" s="1169"/>
      <c r="U42" s="1169"/>
      <c r="V42" s="1169"/>
      <c r="W42" s="1169"/>
      <c r="X42" s="1169"/>
      <c r="Y42" s="1169"/>
      <c r="Z42" s="1169"/>
    </row>
    <row r="43" spans="1:26" s="688" customFormat="1" ht="16.5" customHeight="1" x14ac:dyDescent="0.2">
      <c r="A43" s="1169"/>
      <c r="B43" s="628">
        <f>'IS Analysis Adjustments'!AZ3</f>
        <v>2011</v>
      </c>
      <c r="C43" s="628">
        <f>'IS Analysis Adjustments'!BA3</f>
        <v>2012</v>
      </c>
      <c r="D43" s="628">
        <f>'IS Analysis Adjustments'!BB3</f>
        <v>2013</v>
      </c>
      <c r="E43" s="628">
        <f>'IS Analysis Adjustments'!BC3</f>
        <v>2014</v>
      </c>
      <c r="F43" s="628">
        <f>'IS Analysis Adjustments'!BD3</f>
        <v>2015</v>
      </c>
      <c r="G43" s="628">
        <f>F43+1</f>
        <v>2016</v>
      </c>
      <c r="H43" s="18" t="s">
        <v>604</v>
      </c>
      <c r="I43" s="1169"/>
      <c r="J43" s="1169"/>
      <c r="K43" s="1169"/>
      <c r="L43" s="1169"/>
      <c r="M43" s="1169"/>
      <c r="N43" s="1169"/>
      <c r="O43" s="1169"/>
      <c r="P43" s="1169"/>
      <c r="Q43" s="1169"/>
      <c r="R43" s="1169"/>
      <c r="S43" s="1169"/>
      <c r="T43" s="1169"/>
      <c r="U43" s="1169"/>
      <c r="V43" s="1169"/>
      <c r="W43" s="1169"/>
      <c r="X43" s="1169"/>
      <c r="Y43" s="1169"/>
      <c r="Z43" s="1169"/>
    </row>
    <row r="44" spans="1:26" s="683" customFormat="1" ht="16.5" customHeight="1" x14ac:dyDescent="0.2">
      <c r="A44" s="33" t="str">
        <f>'IS Analysis Adjustments'!A4</f>
        <v>Sales, net returns and allowances</v>
      </c>
      <c r="B44" s="181">
        <f>'IS Analysis Adjustments'!AZ4</f>
        <v>10877</v>
      </c>
      <c r="C44" s="181">
        <f>'IS Analysis Adjustments'!BA4</f>
        <v>12148</v>
      </c>
      <c r="D44" s="181">
        <f>'IS Analysis Adjustments'!BB4</f>
        <v>12540</v>
      </c>
      <c r="E44" s="181">
        <f>'IS Analysis Adjustments'!BC4</f>
        <v>13506</v>
      </c>
      <c r="F44" s="181">
        <f>'IS Analysis Adjustments'!BD4</f>
        <v>14373</v>
      </c>
      <c r="G44" s="183">
        <f>'Sales Projection'!D12</f>
        <v>15070</v>
      </c>
      <c r="H44" s="33" t="s">
        <v>1045</v>
      </c>
    </row>
    <row r="45" spans="1:26" s="684" customFormat="1" ht="16.5" customHeight="1" x14ac:dyDescent="0.2">
      <c r="A45" s="113" t="str">
        <f>'IS Analysis Adjustments'!A5</f>
        <v xml:space="preserve"> COS (LOCOM, retail average cost)</v>
      </c>
      <c r="B45" s="31">
        <f>'IS Analysis Adjustments'!AZ5</f>
        <v>6633</v>
      </c>
      <c r="C45" s="31">
        <f>'IS Analysis Adjustments'!BA5</f>
        <v>7515</v>
      </c>
      <c r="D45" s="31">
        <f>'IS Analysis Adjustments'!BB5</f>
        <v>7789</v>
      </c>
      <c r="E45" s="31">
        <f>'IS Analysis Adjustments'!BC5</f>
        <v>8490</v>
      </c>
      <c r="F45" s="31">
        <f>'IS Analysis Adjustments'!BD5</f>
        <v>9293</v>
      </c>
      <c r="G45" s="34">
        <f>G44-G46</f>
        <v>9710</v>
      </c>
      <c r="H45" s="34" t="s">
        <v>605</v>
      </c>
    </row>
    <row r="46" spans="1:26" s="683" customFormat="1" ht="16.5" customHeight="1" x14ac:dyDescent="0.2">
      <c r="A46" s="33" t="str">
        <f>'IS Analysis Adjustments'!A6</f>
        <v>Gross profit</v>
      </c>
      <c r="B46" s="89">
        <f>B44-B45</f>
        <v>4244</v>
      </c>
      <c r="C46" s="89">
        <f>C44-C45</f>
        <v>4633</v>
      </c>
      <c r="D46" s="89">
        <f>D44-D45</f>
        <v>4751</v>
      </c>
      <c r="E46" s="89">
        <f>E44-E45</f>
        <v>5016</v>
      </c>
      <c r="F46" s="89">
        <f>F44-F45</f>
        <v>5080</v>
      </c>
      <c r="G46" s="33">
        <f>ROUND(G44*G13,-1)</f>
        <v>5360</v>
      </c>
      <c r="H46" s="33" t="s">
        <v>634</v>
      </c>
    </row>
    <row r="47" spans="1:26" ht="16.5" customHeight="1" x14ac:dyDescent="0.2">
      <c r="A47" s="12" t="str">
        <f>'IS Analysis Adjustments'!A7</f>
        <v>Operating expenses</v>
      </c>
    </row>
    <row r="48" spans="1:26" ht="16.5" customHeight="1" x14ac:dyDescent="0.2">
      <c r="A48" s="31" t="str">
        <f>'IS Analysis Adjustments'!A8</f>
        <v>SG&amp;A expenses (excl D&amp;A and advertising)</v>
      </c>
      <c r="B48" s="31">
        <f>'IS Analysis Adjustments'!AZ8</f>
        <v>2394</v>
      </c>
      <c r="C48" s="31">
        <f>'IS Analysis Adjustments'!BA8</f>
        <v>2652</v>
      </c>
      <c r="D48" s="31">
        <f>'IS Analysis Adjustments'!BB8</f>
        <v>2672</v>
      </c>
      <c r="E48" s="31">
        <f>'IS Analysis Adjustments'!BC8</f>
        <v>2889</v>
      </c>
      <c r="F48" s="31">
        <f>'IS Analysis Adjustments'!BD8</f>
        <v>3121</v>
      </c>
      <c r="G48" s="31">
        <f>ROUND(G44*G14,-1)</f>
        <v>3260</v>
      </c>
      <c r="H48" s="31" t="s">
        <v>669</v>
      </c>
    </row>
    <row r="49" spans="1:8" ht="16.5" customHeight="1" x14ac:dyDescent="0.2">
      <c r="A49" s="31" t="str">
        <f>'IS Analysis Adjustments'!A9</f>
        <v>R&amp;D expense</v>
      </c>
      <c r="B49" s="31">
        <f>'IS Analysis Adjustments'!AZ9</f>
        <v>0</v>
      </c>
      <c r="C49" s="31">
        <f>'IS Analysis Adjustments'!BA9</f>
        <v>0</v>
      </c>
      <c r="D49" s="31">
        <f>'IS Analysis Adjustments'!BB9</f>
        <v>0</v>
      </c>
      <c r="E49" s="31">
        <f>'IS Analysis Adjustments'!BC9</f>
        <v>0</v>
      </c>
      <c r="F49" s="31">
        <f>'IS Analysis Adjustments'!BD9</f>
        <v>0</v>
      </c>
      <c r="G49" s="31">
        <f>ROUND(G44*G15,-1)</f>
        <v>0</v>
      </c>
      <c r="H49" s="31" t="s">
        <v>670</v>
      </c>
    </row>
    <row r="50" spans="1:8" ht="16.5" customHeight="1" x14ac:dyDescent="0.2">
      <c r="A50" s="31" t="str">
        <f>'IS Analysis Adjustments'!A10</f>
        <v>Advertising expense</v>
      </c>
      <c r="B50" s="31">
        <f>'IS Analysis Adjustments'!AZ10</f>
        <v>128</v>
      </c>
      <c r="C50" s="31">
        <f>'IS Analysis Adjustments'!BA10</f>
        <v>161</v>
      </c>
      <c r="D50" s="31">
        <f>'IS Analysis Adjustments'!BB10</f>
        <v>167</v>
      </c>
      <c r="E50" s="31">
        <f>'IS Analysis Adjustments'!BC10</f>
        <v>195</v>
      </c>
      <c r="F50" s="31">
        <f>'IS Analysis Adjustments'!BD10</f>
        <v>227</v>
      </c>
      <c r="G50" s="31">
        <f>ROUND(G44*G16,-1)</f>
        <v>210</v>
      </c>
      <c r="H50" s="31" t="s">
        <v>671</v>
      </c>
    </row>
    <row r="51" spans="1:8" ht="16.5" customHeight="1" x14ac:dyDescent="0.2">
      <c r="A51" s="31" t="str">
        <f>'IS Analysis Adjustments'!A11</f>
        <v>D&amp;A</v>
      </c>
      <c r="B51" s="31">
        <f>'IS Analysis Adjustments'!AZ11</f>
        <v>445</v>
      </c>
      <c r="C51" s="31">
        <f>'IS Analysis Adjustments'!BA11</f>
        <v>506</v>
      </c>
      <c r="D51" s="31">
        <f>'IS Analysis Adjustments'!BB11</f>
        <v>569</v>
      </c>
      <c r="E51" s="31">
        <f>'IS Analysis Adjustments'!BC11</f>
        <v>650</v>
      </c>
      <c r="F51" s="31">
        <f>'IS Analysis Adjustments'!BD11</f>
        <v>742</v>
      </c>
      <c r="G51" s="31">
        <f>G153</f>
        <v>810</v>
      </c>
      <c r="H51" s="31" t="s">
        <v>682</v>
      </c>
    </row>
    <row r="52" spans="1:8" s="685" customFormat="1" ht="16.5" customHeight="1" x14ac:dyDescent="0.2">
      <c r="A52" s="39" t="str">
        <f>'IS Analysis Adjustments'!A12</f>
        <v>Other operating expenses (income)</v>
      </c>
      <c r="B52" s="31">
        <f>'IS Analysis Adjustments'!AZ12</f>
        <v>0</v>
      </c>
      <c r="C52" s="31">
        <f>'IS Analysis Adjustments'!BA12</f>
        <v>0</v>
      </c>
      <c r="D52" s="31">
        <f>'IS Analysis Adjustments'!BB12</f>
        <v>0</v>
      </c>
      <c r="E52" s="31">
        <f>'IS Analysis Adjustments'!BC12</f>
        <v>0</v>
      </c>
      <c r="F52" s="31">
        <f>'IS Analysis Adjustments'!BD12</f>
        <v>0</v>
      </c>
      <c r="G52" s="39">
        <f>ROUND(G44*G17,-1)</f>
        <v>0</v>
      </c>
      <c r="H52" s="39" t="s">
        <v>672</v>
      </c>
    </row>
    <row r="53" spans="1:8" s="686" customFormat="1" ht="16.5" customHeight="1" x14ac:dyDescent="0.2">
      <c r="A53" s="115" t="str">
        <f>'IS Analysis Adjustments'!A13</f>
        <v>Total operating expenses</v>
      </c>
      <c r="B53" s="115">
        <f t="shared" ref="B53:G53" si="2">SUM(B48:B52)</f>
        <v>2967</v>
      </c>
      <c r="C53" s="115">
        <f t="shared" si="2"/>
        <v>3319</v>
      </c>
      <c r="D53" s="115">
        <f t="shared" si="2"/>
        <v>3408</v>
      </c>
      <c r="E53" s="115">
        <f t="shared" si="2"/>
        <v>3734</v>
      </c>
      <c r="F53" s="115">
        <f t="shared" si="2"/>
        <v>4090</v>
      </c>
      <c r="G53" s="115">
        <f t="shared" si="2"/>
        <v>4280</v>
      </c>
      <c r="H53" s="115" t="s">
        <v>649</v>
      </c>
    </row>
    <row r="54" spans="1:8" s="683" customFormat="1" ht="16.5" customHeight="1" x14ac:dyDescent="0.2">
      <c r="A54" s="33" t="str">
        <f>'IS Analysis Adjustments'!A14</f>
        <v>Operating income</v>
      </c>
      <c r="B54" s="33">
        <f t="shared" ref="B54:G54" si="3">B46-B53</f>
        <v>1277</v>
      </c>
      <c r="C54" s="33">
        <f t="shared" si="3"/>
        <v>1314</v>
      </c>
      <c r="D54" s="33">
        <f t="shared" si="3"/>
        <v>1343</v>
      </c>
      <c r="E54" s="33">
        <f t="shared" si="3"/>
        <v>1282</v>
      </c>
      <c r="F54" s="33">
        <f t="shared" si="3"/>
        <v>990</v>
      </c>
      <c r="G54" s="33">
        <f t="shared" si="3"/>
        <v>1080</v>
      </c>
      <c r="H54" s="33" t="s">
        <v>720</v>
      </c>
    </row>
    <row r="55" spans="1:8" ht="16.5" customHeight="1" x14ac:dyDescent="0.2">
      <c r="A55" s="12" t="str">
        <f>'IS Analysis Adjustments'!A15</f>
        <v>Other income (expense)</v>
      </c>
    </row>
    <row r="56" spans="1:8" ht="16.5" customHeight="1" x14ac:dyDescent="0.2">
      <c r="A56" s="31" t="str">
        <f>'IS Analysis Adjustments'!A16</f>
        <v>Interest expense, net of interest income</v>
      </c>
      <c r="B56" s="31">
        <f>'IS Analysis Adjustments'!AZ16</f>
        <v>-180</v>
      </c>
      <c r="C56" s="31">
        <f>'IS Analysis Adjustments'!BA16</f>
        <v>-209</v>
      </c>
      <c r="D56" s="31">
        <f>'IS Analysis Adjustments'!BB16</f>
        <v>-238</v>
      </c>
      <c r="E56" s="31">
        <f>'IS Analysis Adjustments'!BC16</f>
        <v>-232</v>
      </c>
      <c r="F56" s="31">
        <f>'IS Analysis Adjustments'!BD16</f>
        <v>-240</v>
      </c>
      <c r="G56" s="32">
        <f>-ROUND(G20*G21,-1)</f>
        <v>-240</v>
      </c>
      <c r="H56" s="31" t="s">
        <v>758</v>
      </c>
    </row>
    <row r="57" spans="1:8" ht="16.5" customHeight="1" x14ac:dyDescent="0.2">
      <c r="A57" s="31" t="str">
        <f>'IS Analysis Adjustments'!A17</f>
        <v>Gain (loss) on spin-off of subsidiary</v>
      </c>
      <c r="B57" s="31">
        <f>'IS Analysis Adjustments'!AZ17</f>
        <v>0</v>
      </c>
      <c r="C57" s="31">
        <f>'IS Analysis Adjustments'!BA17</f>
        <v>0</v>
      </c>
      <c r="D57" s="31">
        <f>'IS Analysis Adjustments'!BB17</f>
        <v>0</v>
      </c>
      <c r="E57" s="31">
        <f>'IS Analysis Adjustments'!BC17</f>
        <v>0</v>
      </c>
      <c r="F57" s="31">
        <f>'IS Analysis Adjustments'!BD17</f>
        <v>0</v>
      </c>
      <c r="G57" s="31">
        <v>0</v>
      </c>
      <c r="H57" s="31" t="s">
        <v>1057</v>
      </c>
    </row>
    <row r="58" spans="1:8" ht="16.5" customHeight="1" x14ac:dyDescent="0.2">
      <c r="A58" s="31" t="str">
        <f>'IS Analysis Adjustments'!A18</f>
        <v>Gain (loss) on debt restruct/early extinguish</v>
      </c>
      <c r="B58" s="31">
        <f>'IS Analysis Adjustments'!AZ18</f>
        <v>0</v>
      </c>
      <c r="C58" s="31">
        <f>'IS Analysis Adjustments'!BA18</f>
        <v>0</v>
      </c>
      <c r="D58" s="31">
        <f>'IS Analysis Adjustments'!BB18</f>
        <v>0</v>
      </c>
      <c r="E58" s="31">
        <f>'IS Analysis Adjustments'!BC18</f>
        <v>0</v>
      </c>
      <c r="F58" s="31">
        <f>'IS Analysis Adjustments'!BD18</f>
        <v>0</v>
      </c>
      <c r="G58" s="31">
        <v>0</v>
      </c>
      <c r="H58" s="31" t="s">
        <v>1057</v>
      </c>
    </row>
    <row r="59" spans="1:8" ht="16.5" customHeight="1" x14ac:dyDescent="0.2">
      <c r="A59" s="31" t="str">
        <f>'IS Analysis Adjustments'!A19</f>
        <v>Gain (loss) on disposal of credit card receivables</v>
      </c>
      <c r="B59" s="31">
        <f>'IS Analysis Adjustments'!AZ19</f>
        <v>0</v>
      </c>
      <c r="C59" s="31">
        <f>'IS Analysis Adjustments'!BA19</f>
        <v>0</v>
      </c>
      <c r="D59" s="31">
        <f>'IS Analysis Adjustments'!BB19</f>
        <v>0</v>
      </c>
      <c r="E59" s="31">
        <f>'IS Analysis Adjustments'!BC19</f>
        <v>0</v>
      </c>
      <c r="F59" s="31">
        <f>'IS Analysis Adjustments'!BD19</f>
        <v>0</v>
      </c>
      <c r="G59" s="31">
        <v>0</v>
      </c>
      <c r="H59" s="31" t="s">
        <v>1057</v>
      </c>
    </row>
    <row r="60" spans="1:8" ht="16.5" customHeight="1" x14ac:dyDescent="0.2">
      <c r="A60" s="31" t="str">
        <f>'IS Analysis Adjustments'!A20</f>
        <v>Gain (loss) on disposal of PP&amp;E</v>
      </c>
      <c r="B60" s="31">
        <f>'IS Analysis Adjustments'!AZ20</f>
        <v>0</v>
      </c>
      <c r="C60" s="31">
        <f>'IS Analysis Adjustments'!BA20</f>
        <v>0</v>
      </c>
      <c r="D60" s="31">
        <f>'IS Analysis Adjustments'!BB20</f>
        <v>0</v>
      </c>
      <c r="E60" s="31">
        <f>'IS Analysis Adjustments'!BC20</f>
        <v>0</v>
      </c>
      <c r="F60" s="31">
        <f>'IS Analysis Adjustments'!BD20</f>
        <v>0</v>
      </c>
      <c r="G60" s="31">
        <f>'IS Analysis Adjustments'!BE20</f>
        <v>0</v>
      </c>
      <c r="H60" s="31" t="s">
        <v>1057</v>
      </c>
    </row>
    <row r="61" spans="1:8" ht="16.5" customHeight="1" x14ac:dyDescent="0.2">
      <c r="A61" s="31" t="str">
        <f>'IS Analysis Adjustments'!A21</f>
        <v>Impairment loss on PP&amp;E</v>
      </c>
      <c r="B61" s="31">
        <f>'IS Analysis Adjustments'!AZ21</f>
        <v>0</v>
      </c>
      <c r="C61" s="31">
        <f>'IS Analysis Adjustments'!BA21</f>
        <v>0</v>
      </c>
      <c r="D61" s="31">
        <f>'IS Analysis Adjustments'!BB21</f>
        <v>0</v>
      </c>
      <c r="E61" s="31">
        <f>'IS Analysis Adjustments'!BC21</f>
        <v>0</v>
      </c>
      <c r="F61" s="31">
        <f>'IS Analysis Adjustments'!BD21</f>
        <v>0</v>
      </c>
      <c r="G61" s="31">
        <v>0</v>
      </c>
      <c r="H61" s="31" t="s">
        <v>1057</v>
      </c>
    </row>
    <row r="62" spans="1:8" ht="16.5" customHeight="1" x14ac:dyDescent="0.2">
      <c r="A62" s="31" t="str">
        <f>'IS Analysis Adjustments'!A22</f>
        <v>Impairment loss on goodwill</v>
      </c>
      <c r="B62" s="31">
        <f>'IS Analysis Adjustments'!AZ22</f>
        <v>0</v>
      </c>
      <c r="C62" s="31">
        <f>'IS Analysis Adjustments'!BA22</f>
        <v>0</v>
      </c>
      <c r="D62" s="31">
        <f>'IS Analysis Adjustments'!BB22</f>
        <v>0</v>
      </c>
      <c r="E62" s="31">
        <f>'IS Analysis Adjustments'!BC22</f>
        <v>0</v>
      </c>
      <c r="F62" s="31">
        <f>'IS Analysis Adjustments'!BD22</f>
        <v>0</v>
      </c>
      <c r="G62" s="31">
        <v>0</v>
      </c>
      <c r="H62" s="31" t="s">
        <v>1057</v>
      </c>
    </row>
    <row r="63" spans="1:8" ht="16.5" customHeight="1" x14ac:dyDescent="0.2">
      <c r="A63" s="31" t="str">
        <f>'IS Analysis Adjustments'!A23</f>
        <v>Impairment of other intangibles</v>
      </c>
      <c r="B63" s="31">
        <f>'IS Analysis Adjustments'!AZ23</f>
        <v>0</v>
      </c>
      <c r="C63" s="31">
        <f>'IS Analysis Adjustments'!BA23</f>
        <v>0</v>
      </c>
      <c r="D63" s="31">
        <f>'IS Analysis Adjustments'!BB23</f>
        <v>0</v>
      </c>
      <c r="E63" s="31">
        <f>'IS Analysis Adjustments'!BC23</f>
        <v>0</v>
      </c>
      <c r="F63" s="31">
        <f>'IS Analysis Adjustments'!BD23</f>
        <v>0</v>
      </c>
      <c r="G63" s="31">
        <v>0</v>
      </c>
      <c r="H63" s="31" t="s">
        <v>1057</v>
      </c>
    </row>
    <row r="64" spans="1:8" s="685" customFormat="1" ht="16.5" customHeight="1" x14ac:dyDescent="0.2">
      <c r="A64" s="39" t="str">
        <f>'IS Analysis Adjustments'!A24</f>
        <v>Restructuring charge</v>
      </c>
      <c r="B64" s="34">
        <f>'IS Analysis Adjustments'!AZ24</f>
        <v>0</v>
      </c>
      <c r="C64" s="34">
        <f>'IS Analysis Adjustments'!BA24</f>
        <v>0</v>
      </c>
      <c r="D64" s="34">
        <f>'IS Analysis Adjustments'!BB24</f>
        <v>0</v>
      </c>
      <c r="E64" s="34">
        <f>'IS Analysis Adjustments'!BC24</f>
        <v>0</v>
      </c>
      <c r="F64" s="34">
        <f>'IS Analysis Adjustments'!BD24</f>
        <v>0</v>
      </c>
      <c r="G64" s="39">
        <v>0</v>
      </c>
      <c r="H64" s="31" t="s">
        <v>1057</v>
      </c>
    </row>
    <row r="65" spans="1:26" s="686" customFormat="1" ht="16.5" customHeight="1" x14ac:dyDescent="0.2">
      <c r="A65" s="115" t="str">
        <f>'IS Analysis Adjustments'!A25</f>
        <v>Total other income (expense)</v>
      </c>
      <c r="B65" s="73">
        <f t="shared" ref="B65:G65" si="4">SUM(B56:B64)</f>
        <v>-180</v>
      </c>
      <c r="C65" s="73">
        <f t="shared" si="4"/>
        <v>-209</v>
      </c>
      <c r="D65" s="73">
        <f t="shared" si="4"/>
        <v>-238</v>
      </c>
      <c r="E65" s="73">
        <f t="shared" si="4"/>
        <v>-232</v>
      </c>
      <c r="F65" s="73">
        <f t="shared" si="4"/>
        <v>-240</v>
      </c>
      <c r="G65" s="73">
        <f t="shared" si="4"/>
        <v>-240</v>
      </c>
      <c r="H65" s="115" t="s">
        <v>649</v>
      </c>
    </row>
    <row r="66" spans="1:26" s="683" customFormat="1" ht="16.5" customHeight="1" x14ac:dyDescent="0.2">
      <c r="A66" s="33" t="str">
        <f>'IS Analysis Adjustments'!A26</f>
        <v>Income from cont. oper's before taxes</v>
      </c>
      <c r="B66" s="89">
        <f t="shared" ref="B66:G66" si="5">B54+B65</f>
        <v>1097</v>
      </c>
      <c r="C66" s="89">
        <f t="shared" si="5"/>
        <v>1105</v>
      </c>
      <c r="D66" s="89">
        <f t="shared" si="5"/>
        <v>1105</v>
      </c>
      <c r="E66" s="89">
        <f t="shared" si="5"/>
        <v>1050</v>
      </c>
      <c r="F66" s="89">
        <f t="shared" si="5"/>
        <v>750</v>
      </c>
      <c r="G66" s="89">
        <f t="shared" si="5"/>
        <v>840</v>
      </c>
      <c r="H66" s="33" t="s">
        <v>677</v>
      </c>
    </row>
    <row r="67" spans="1:26" s="684" customFormat="1" ht="16.5" customHeight="1" x14ac:dyDescent="0.2">
      <c r="A67" s="34" t="str">
        <f>'IS Analysis Adjustments'!A27</f>
        <v>Taxes on income from continuing operations</v>
      </c>
      <c r="B67" s="31">
        <f>'IS Analysis Adjustments'!AZ27</f>
        <v>427</v>
      </c>
      <c r="C67" s="31">
        <f>'IS Analysis Adjustments'!BA27</f>
        <v>419</v>
      </c>
      <c r="D67" s="31">
        <f>'IS Analysis Adjustments'!BB27</f>
        <v>423</v>
      </c>
      <c r="E67" s="31">
        <f>'IS Analysis Adjustments'!BC27</f>
        <v>412</v>
      </c>
      <c r="F67" s="31">
        <f>'IS Analysis Adjustments'!BD27</f>
        <v>289</v>
      </c>
      <c r="G67" s="34">
        <f>ROUND(G66*G22,-1)</f>
        <v>320</v>
      </c>
      <c r="H67" s="34" t="s">
        <v>676</v>
      </c>
    </row>
    <row r="68" spans="1:26" s="683" customFormat="1" ht="16.5" customHeight="1" x14ac:dyDescent="0.2">
      <c r="A68" s="130" t="str">
        <f>'IS Analysis Adjustments'!A28</f>
        <v xml:space="preserve"> Income from contin oper incl noncontrol int's</v>
      </c>
      <c r="B68" s="89">
        <f t="shared" ref="B68:G68" si="6">B66-B67</f>
        <v>670</v>
      </c>
      <c r="C68" s="89">
        <f t="shared" si="6"/>
        <v>686</v>
      </c>
      <c r="D68" s="89">
        <f t="shared" si="6"/>
        <v>682</v>
      </c>
      <c r="E68" s="89">
        <f t="shared" si="6"/>
        <v>638</v>
      </c>
      <c r="F68" s="89">
        <f t="shared" si="6"/>
        <v>461</v>
      </c>
      <c r="G68" s="89">
        <f t="shared" si="6"/>
        <v>520</v>
      </c>
      <c r="H68" s="33" t="s">
        <v>631</v>
      </c>
    </row>
    <row r="69" spans="1:26" s="684" customFormat="1" ht="16.5" customHeight="1" x14ac:dyDescent="0.2">
      <c r="A69" s="39" t="str">
        <f>'IS Analysis Adjustments'!A29</f>
        <v>Less: Income attrib to noncontrol interests</v>
      </c>
      <c r="B69" s="31">
        <f>'IS Analysis Adjustments'!AZ29</f>
        <v>0</v>
      </c>
      <c r="C69" s="31">
        <f>'IS Analysis Adjustments'!BA29</f>
        <v>0</v>
      </c>
      <c r="D69" s="31">
        <f>'IS Analysis Adjustments'!BB29</f>
        <v>0</v>
      </c>
      <c r="E69" s="31">
        <f>'IS Analysis Adjustments'!BC29</f>
        <v>0</v>
      </c>
      <c r="F69" s="31">
        <f>'IS Analysis Adjustments'!BD29</f>
        <v>0</v>
      </c>
      <c r="G69" s="737">
        <f>ROUND(AVERAGE(B69:F69),-1)</f>
        <v>0</v>
      </c>
      <c r="H69" s="34" t="s">
        <v>632</v>
      </c>
    </row>
    <row r="70" spans="1:26" s="687" customFormat="1" ht="16.5" customHeight="1" thickBot="1" x14ac:dyDescent="0.25">
      <c r="A70" s="467" t="str">
        <f>'IS Analysis Adjustments'!A30</f>
        <v xml:space="preserve"> Income from continuing operations</v>
      </c>
      <c r="B70" s="387">
        <f t="shared" ref="B70:G70" si="7">B68-B69</f>
        <v>670</v>
      </c>
      <c r="C70" s="387">
        <f t="shared" si="7"/>
        <v>686</v>
      </c>
      <c r="D70" s="387">
        <f t="shared" si="7"/>
        <v>682</v>
      </c>
      <c r="E70" s="387">
        <f t="shared" si="7"/>
        <v>638</v>
      </c>
      <c r="F70" s="387">
        <f t="shared" si="7"/>
        <v>461</v>
      </c>
      <c r="G70" s="387">
        <f t="shared" si="7"/>
        <v>520</v>
      </c>
      <c r="H70" s="37" t="s">
        <v>633</v>
      </c>
    </row>
    <row r="71" spans="1:26" s="1169" customFormat="1" ht="6" customHeight="1" x14ac:dyDescent="0.2">
      <c r="A71" s="719"/>
      <c r="B71" s="720"/>
      <c r="C71" s="720"/>
      <c r="D71" s="720"/>
      <c r="E71" s="720"/>
      <c r="F71" s="720"/>
      <c r="G71" s="720"/>
    </row>
    <row r="72" spans="1:26" s="685" customFormat="1" ht="16.5" customHeight="1" x14ac:dyDescent="0.2">
      <c r="A72" s="721"/>
      <c r="B72" s="722"/>
      <c r="C72" s="722"/>
      <c r="D72" s="722"/>
      <c r="E72" s="722"/>
      <c r="F72" s="722"/>
    </row>
    <row r="73" spans="1:26" s="709" customFormat="1" ht="16.5" customHeight="1" x14ac:dyDescent="0.2">
      <c r="A73" s="709" t="s">
        <v>575</v>
      </c>
      <c r="B73" s="1119"/>
      <c r="C73" s="1119"/>
      <c r="D73" s="1119"/>
      <c r="E73" s="1119"/>
      <c r="F73" s="1119"/>
      <c r="G73" s="1119"/>
      <c r="H73" s="1119"/>
      <c r="I73" s="1119"/>
      <c r="J73" s="1119"/>
      <c r="K73" s="1119"/>
      <c r="L73" s="1119"/>
      <c r="M73" s="1119"/>
      <c r="N73" s="1119"/>
      <c r="O73" s="1119"/>
      <c r="P73" s="1119"/>
      <c r="Q73" s="1119"/>
      <c r="R73" s="1119"/>
      <c r="S73" s="1119"/>
      <c r="T73" s="1119"/>
      <c r="U73" s="1119"/>
      <c r="V73" s="1119"/>
      <c r="W73" s="1119"/>
      <c r="X73" s="1119"/>
      <c r="Y73" s="1119"/>
      <c r="Z73" s="1119"/>
    </row>
    <row r="74" spans="1:26" s="688" customFormat="1" ht="16.5" customHeight="1" x14ac:dyDescent="0.2">
      <c r="A74" s="54" t="s">
        <v>241</v>
      </c>
      <c r="B74" s="689" t="s">
        <v>606</v>
      </c>
      <c r="C74" s="690"/>
      <c r="D74" s="690"/>
      <c r="E74" s="690"/>
      <c r="F74" s="690"/>
      <c r="G74" s="47" t="s">
        <v>204</v>
      </c>
      <c r="I74" s="1169"/>
      <c r="J74" s="1169"/>
      <c r="K74" s="1169"/>
      <c r="L74" s="1169"/>
      <c r="M74" s="1169"/>
      <c r="N74" s="1169"/>
      <c r="O74" s="1169"/>
      <c r="P74" s="1169"/>
      <c r="Q74" s="1169"/>
      <c r="R74" s="1169"/>
      <c r="S74" s="1169"/>
      <c r="T74" s="1169"/>
      <c r="U74" s="1169"/>
      <c r="V74" s="1169"/>
      <c r="W74" s="1169"/>
      <c r="X74" s="1169"/>
      <c r="Y74" s="1169"/>
      <c r="Z74" s="1169"/>
    </row>
    <row r="75" spans="1:26" s="688" customFormat="1" ht="16.5" customHeight="1" x14ac:dyDescent="0.2">
      <c r="A75" s="18" t="str">
        <f>'BS Analysis Adjustments'!A5</f>
        <v>Current assets</v>
      </c>
      <c r="B75" s="628">
        <f>'BS Analysis Adjustments'!AZ3</f>
        <v>2011</v>
      </c>
      <c r="C75" s="628">
        <f>'BS Analysis Adjustments'!BA3</f>
        <v>2012</v>
      </c>
      <c r="D75" s="628">
        <f>'BS Analysis Adjustments'!BB3</f>
        <v>2013</v>
      </c>
      <c r="E75" s="628">
        <f>'BS Analysis Adjustments'!BC3</f>
        <v>2014</v>
      </c>
      <c r="F75" s="628">
        <f>'BS Analysis Adjustments'!BD3</f>
        <v>2015</v>
      </c>
      <c r="G75" s="628">
        <f>F75+1</f>
        <v>2016</v>
      </c>
      <c r="H75" s="18" t="s">
        <v>656</v>
      </c>
      <c r="I75" s="1169"/>
      <c r="J75" s="1169"/>
      <c r="K75" s="1169"/>
      <c r="L75" s="1169"/>
      <c r="M75" s="1169"/>
      <c r="N75" s="1169"/>
      <c r="O75" s="1169"/>
      <c r="P75" s="1169"/>
      <c r="Q75" s="1169"/>
      <c r="R75" s="1169"/>
      <c r="S75" s="1169"/>
      <c r="T75" s="1169"/>
      <c r="U75" s="1169"/>
      <c r="V75" s="1169"/>
      <c r="W75" s="1169"/>
      <c r="X75" s="1169"/>
      <c r="Y75" s="1169"/>
      <c r="Z75" s="1169"/>
    </row>
    <row r="76" spans="1:26" s="726" customFormat="1" ht="16.5" customHeight="1" x14ac:dyDescent="0.2">
      <c r="A76" s="66" t="str">
        <f>'BS Analysis Adjustments'!A6</f>
        <v>Cash and cash equivalents</v>
      </c>
      <c r="B76" s="183">
        <f>'BS Analysis Adjustments'!AZ6</f>
        <v>1877</v>
      </c>
      <c r="C76" s="183">
        <f>'BS Analysis Adjustments'!BA6</f>
        <v>1285</v>
      </c>
      <c r="D76" s="183">
        <f>'BS Analysis Adjustments'!BB6</f>
        <v>1194</v>
      </c>
      <c r="E76" s="183">
        <f>'BS Analysis Adjustments'!BC6</f>
        <v>827</v>
      </c>
      <c r="F76" s="183">
        <f>'BS Analysis Adjustments'!BD6</f>
        <v>595</v>
      </c>
      <c r="G76" s="183">
        <f>G87-SUM(G77:G80)-SUM(G84:G86)</f>
        <v>815</v>
      </c>
      <c r="H76" s="66" t="s">
        <v>689</v>
      </c>
    </row>
    <row r="77" spans="1:26" s="718" customFormat="1" ht="16.5" customHeight="1" x14ac:dyDescent="0.2">
      <c r="A77" s="32" t="str">
        <f>'BS Analysis Adjustments'!A7</f>
        <v>Investment securities AFS</v>
      </c>
      <c r="B77" s="32">
        <f>'BS Analysis Adjustments'!AZ7</f>
        <v>0</v>
      </c>
      <c r="C77" s="32">
        <f>'BS Analysis Adjustments'!BA7</f>
        <v>0</v>
      </c>
      <c r="D77" s="32">
        <f>'BS Analysis Adjustments'!BB7</f>
        <v>0</v>
      </c>
      <c r="E77" s="32">
        <f>'BS Analysis Adjustments'!BC7</f>
        <v>0</v>
      </c>
      <c r="F77" s="32">
        <f>'BS Analysis Adjustments'!BD7</f>
        <v>0</v>
      </c>
      <c r="G77" s="736">
        <f>ROUND(AVERAGE(B77:F77),-1)</f>
        <v>0</v>
      </c>
      <c r="H77" s="32" t="s">
        <v>638</v>
      </c>
    </row>
    <row r="78" spans="1:26" s="718" customFormat="1" ht="16.5" customHeight="1" x14ac:dyDescent="0.2">
      <c r="A78" s="32" t="str">
        <f>'BS Analysis Adjustments'!A10</f>
        <v>AR, net</v>
      </c>
      <c r="B78" s="32">
        <f>'BS Analysis Adjustments'!AZ10</f>
        <v>2033</v>
      </c>
      <c r="C78" s="32">
        <f>'BS Analysis Adjustments'!BA10</f>
        <v>2129</v>
      </c>
      <c r="D78" s="32">
        <f>'BS Analysis Adjustments'!BB10</f>
        <v>2177</v>
      </c>
      <c r="E78" s="32">
        <f>'BS Analysis Adjustments'!BC10</f>
        <v>2306</v>
      </c>
      <c r="F78" s="32">
        <f>'BS Analysis Adjustments'!BD10</f>
        <v>196</v>
      </c>
      <c r="G78" s="32">
        <f>ROUND(G44/G24,-1)</f>
        <v>370</v>
      </c>
      <c r="H78" s="32" t="s">
        <v>636</v>
      </c>
    </row>
    <row r="79" spans="1:26" s="718" customFormat="1" ht="16.5" customHeight="1" x14ac:dyDescent="0.2">
      <c r="A79" s="104" t="str">
        <f>'BS Analysis Adjustments'!A11</f>
        <v xml:space="preserve"> Inventory (LOCOM, retail average cost)</v>
      </c>
      <c r="B79" s="32">
        <f>'BS Analysis Adjustments'!AZ11</f>
        <v>1148</v>
      </c>
      <c r="C79" s="32">
        <f>'BS Analysis Adjustments'!BA11</f>
        <v>1360</v>
      </c>
      <c r="D79" s="32">
        <f>'BS Analysis Adjustments'!BB11</f>
        <v>1531</v>
      </c>
      <c r="E79" s="32">
        <f>'BS Analysis Adjustments'!BC11</f>
        <v>1733</v>
      </c>
      <c r="F79" s="32">
        <f>'BS Analysis Adjustments'!BD11</f>
        <v>1945</v>
      </c>
      <c r="G79" s="32">
        <f>ROUND(G45/G25,-1)</f>
        <v>1870</v>
      </c>
      <c r="H79" s="32" t="s">
        <v>637</v>
      </c>
    </row>
    <row r="80" spans="1:26" s="724" customFormat="1" ht="16.5" customHeight="1" x14ac:dyDescent="0.2">
      <c r="A80" s="71" t="s">
        <v>578</v>
      </c>
      <c r="B80" s="71">
        <f>'BS Analysis Adjustments'!AZ12+'BS Analysis Adjustments'!AZ13</f>
        <v>1775</v>
      </c>
      <c r="C80" s="71">
        <f>'BS Analysis Adjustments'!BA12+'BS Analysis Adjustments'!BA13</f>
        <v>1736</v>
      </c>
      <c r="D80" s="71">
        <f>'BS Analysis Adjustments'!BB12+'BS Analysis Adjustments'!BB13</f>
        <v>1776</v>
      </c>
      <c r="E80" s="71">
        <f>'BS Analysis Adjustments'!BC12+'BS Analysis Adjustments'!BC13</f>
        <v>2167</v>
      </c>
      <c r="F80" s="71">
        <f>'BS Analysis Adjustments'!BD12+'BS Analysis Adjustments'!BD13</f>
        <v>1969</v>
      </c>
      <c r="G80" s="737">
        <f>ROUND(AVERAGE(B80:F80),-1)</f>
        <v>1880</v>
      </c>
      <c r="H80" s="71" t="s">
        <v>638</v>
      </c>
    </row>
    <row r="81" spans="1:8" s="677" customFormat="1" ht="16.5" customHeight="1" x14ac:dyDescent="0.2">
      <c r="A81" s="41" t="str">
        <f>'BS Analysis Adjustments'!A14</f>
        <v>Total current assets</v>
      </c>
      <c r="B81" s="41">
        <f t="shared" ref="B81:G81" si="8">SUM(B76:B80)</f>
        <v>6833</v>
      </c>
      <c r="C81" s="41">
        <f t="shared" si="8"/>
        <v>6510</v>
      </c>
      <c r="D81" s="41">
        <f t="shared" si="8"/>
        <v>6678</v>
      </c>
      <c r="E81" s="41">
        <f t="shared" si="8"/>
        <v>7033</v>
      </c>
      <c r="F81" s="41">
        <f t="shared" si="8"/>
        <v>4705</v>
      </c>
      <c r="G81" s="41">
        <f t="shared" si="8"/>
        <v>4935</v>
      </c>
      <c r="H81" s="41" t="s">
        <v>649</v>
      </c>
    </row>
    <row r="82" spans="1:8" s="718" customFormat="1" ht="16.5" customHeight="1" x14ac:dyDescent="0.2">
      <c r="A82" s="32" t="str">
        <f>'BS Analysis Adjustments'!A16</f>
        <v>PP&amp;E, at cost</v>
      </c>
      <c r="B82" s="32">
        <f>'BS Analysis Adjustments'!AZ16</f>
        <v>7111</v>
      </c>
      <c r="C82" s="32">
        <f>'BS Analysis Adjustments'!BA16</f>
        <v>7913</v>
      </c>
      <c r="D82" s="32">
        <f>'BS Analysis Adjustments'!BB16</f>
        <v>8909</v>
      </c>
      <c r="E82" s="32">
        <f>'BS Analysis Adjustments'!BC16</f>
        <v>9864</v>
      </c>
      <c r="F82" s="32">
        <f>'BS Analysis Adjustments'!BD16</f>
        <v>11053</v>
      </c>
      <c r="G82" s="32">
        <f>G149</f>
        <v>12180</v>
      </c>
      <c r="H82" s="32" t="s">
        <v>734</v>
      </c>
    </row>
    <row r="83" spans="1:8" s="724" customFormat="1" ht="16.5" customHeight="1" x14ac:dyDescent="0.2">
      <c r="A83" s="71" t="str">
        <f>'BS Analysis Adjustments'!A17</f>
        <v>Less: Accumulated depreciation of PP&amp;E</v>
      </c>
      <c r="B83" s="71">
        <f>'BS Analysis Adjustments'!AZ17</f>
        <v>-3791</v>
      </c>
      <c r="C83" s="71">
        <f>'BS Analysis Adjustments'!BA17</f>
        <v>-4064</v>
      </c>
      <c r="D83" s="71">
        <f>'BS Analysis Adjustments'!BB17</f>
        <v>-4395</v>
      </c>
      <c r="E83" s="71">
        <f>'BS Analysis Adjustments'!BC17</f>
        <v>-4698</v>
      </c>
      <c r="F83" s="71">
        <f>'BS Analysis Adjustments'!BD17</f>
        <v>-5108</v>
      </c>
      <c r="G83" s="71">
        <f>-G154</f>
        <v>-5920</v>
      </c>
      <c r="H83" s="71" t="s">
        <v>682</v>
      </c>
    </row>
    <row r="84" spans="1:8" s="726" customFormat="1" ht="16.5" customHeight="1" x14ac:dyDescent="0.2">
      <c r="A84" s="66" t="str">
        <f>'BS Analysis Adjustments'!A18</f>
        <v>PP&amp;E, net</v>
      </c>
      <c r="B84" s="66">
        <f t="shared" ref="B84:G84" si="9">SUM(B82:B83)</f>
        <v>3320</v>
      </c>
      <c r="C84" s="66">
        <f t="shared" si="9"/>
        <v>3849</v>
      </c>
      <c r="D84" s="66">
        <f t="shared" si="9"/>
        <v>4514</v>
      </c>
      <c r="E84" s="66">
        <f t="shared" si="9"/>
        <v>5166</v>
      </c>
      <c r="F84" s="66">
        <f t="shared" si="9"/>
        <v>5945</v>
      </c>
      <c r="G84" s="66">
        <f t="shared" si="9"/>
        <v>6260</v>
      </c>
      <c r="H84" s="66" t="s">
        <v>649</v>
      </c>
    </row>
    <row r="85" spans="1:8" s="718" customFormat="1" ht="16.5" customHeight="1" x14ac:dyDescent="0.2">
      <c r="A85" s="32" t="s">
        <v>579</v>
      </c>
      <c r="B85" s="32">
        <f>'BS Analysis Adjustments'!AZ19+'BS Analysis Adjustments'!AZ20</f>
        <v>175</v>
      </c>
      <c r="C85" s="32">
        <f>'BS Analysis Adjustments'!BA19+'BS Analysis Adjustments'!BA20</f>
        <v>175</v>
      </c>
      <c r="D85" s="32">
        <f>'BS Analysis Adjustments'!BB19+'BS Analysis Adjustments'!BB20</f>
        <v>175</v>
      </c>
      <c r="E85" s="32">
        <f>'BS Analysis Adjustments'!BC19+'BS Analysis Adjustments'!BC20</f>
        <v>435</v>
      </c>
      <c r="F85" s="32">
        <f>'BS Analysis Adjustments'!BD19+'BS Analysis Adjustments'!BD20</f>
        <v>435</v>
      </c>
      <c r="G85" s="736">
        <v>435</v>
      </c>
      <c r="H85" s="32" t="s">
        <v>638</v>
      </c>
    </row>
    <row r="86" spans="1:8" s="724" customFormat="1" ht="16.5" customHeight="1" x14ac:dyDescent="0.2">
      <c r="A86" s="71" t="s">
        <v>580</v>
      </c>
      <c r="B86" s="71">
        <f>'BS Analysis Adjustments'!AZ21+'BS Analysis Adjustments'!AZ22</f>
        <v>457</v>
      </c>
      <c r="C86" s="71">
        <f>'BS Analysis Adjustments'!BA21+'BS Analysis Adjustments'!BA22</f>
        <v>726</v>
      </c>
      <c r="D86" s="71">
        <f>'BS Analysis Adjustments'!BB21+'BS Analysis Adjustments'!BB22</f>
        <v>897</v>
      </c>
      <c r="E86" s="71">
        <f>'BS Analysis Adjustments'!BC21+'BS Analysis Adjustments'!BC22</f>
        <v>529</v>
      </c>
      <c r="F86" s="71">
        <f>'BS Analysis Adjustments'!BD21+'BS Analysis Adjustments'!BD22</f>
        <v>833</v>
      </c>
      <c r="G86" s="737">
        <f>ROUND(AVERAGE(B86:F86),-1)</f>
        <v>690</v>
      </c>
      <c r="H86" s="71" t="s">
        <v>638</v>
      </c>
    </row>
    <row r="87" spans="1:8" s="727" customFormat="1" ht="16.5" customHeight="1" thickBot="1" x14ac:dyDescent="0.25">
      <c r="A87" s="105" t="str">
        <f>'BS Analysis Adjustments'!A23</f>
        <v>Total assets</v>
      </c>
      <c r="B87" s="237">
        <f>SUM(B81,B84:B86)</f>
        <v>10785</v>
      </c>
      <c r="C87" s="237">
        <f>SUM(C81,C84:C86)</f>
        <v>11260</v>
      </c>
      <c r="D87" s="237">
        <f>SUM(D81,D84:D86)</f>
        <v>12264</v>
      </c>
      <c r="E87" s="237">
        <f>SUM(E81,E84:E86)</f>
        <v>13163</v>
      </c>
      <c r="F87" s="237">
        <f>SUM(F81,F84:F86)</f>
        <v>11918</v>
      </c>
      <c r="G87" s="237">
        <f>G107</f>
        <v>12320</v>
      </c>
      <c r="H87" s="105" t="s">
        <v>700</v>
      </c>
    </row>
    <row r="88" spans="1:8" s="677" customFormat="1" ht="6" customHeight="1" x14ac:dyDescent="0.2">
      <c r="A88" s="677">
        <f>'BS Analysis Adjustments'!A24</f>
        <v>0</v>
      </c>
    </row>
    <row r="89" spans="1:8" s="726" customFormat="1" ht="16.5" customHeight="1" x14ac:dyDescent="0.2">
      <c r="A89" s="728" t="str">
        <f>'BS Analysis Adjustments'!A26</f>
        <v>Current liabilities</v>
      </c>
    </row>
    <row r="90" spans="1:8" s="718" customFormat="1" ht="16.5" customHeight="1" x14ac:dyDescent="0.2">
      <c r="A90" s="32" t="s">
        <v>261</v>
      </c>
      <c r="B90" s="381">
        <f>'BS Analysis Adjustments'!AZ27+'BS Analysis Adjustments'!AZ28</f>
        <v>2578</v>
      </c>
      <c r="C90" s="381">
        <f>'BS Analysis Adjustments'!BA27+'BS Analysis Adjustments'!BA28</f>
        <v>2844</v>
      </c>
      <c r="D90" s="381">
        <f>'BS Analysis Adjustments'!BB27+'BS Analysis Adjustments'!BB28</f>
        <v>3108</v>
      </c>
      <c r="E90" s="381">
        <f>'BS Analysis Adjustments'!BC27+'BS Analysis Adjustments'!BC28</f>
        <v>3553</v>
      </c>
      <c r="F90" s="381">
        <f>'BS Analysis Adjustments'!BD27+'BS Analysis Adjustments'!BD28</f>
        <v>3431</v>
      </c>
      <c r="G90" s="381">
        <f>ROUND((G45+G53-G51)/G26,-1)</f>
        <v>3660</v>
      </c>
      <c r="H90" s="32" t="s">
        <v>691</v>
      </c>
    </row>
    <row r="91" spans="1:8" s="718" customFormat="1" ht="16.5" customHeight="1" x14ac:dyDescent="0.2">
      <c r="A91" s="32" t="str">
        <f>'BS Analysis Adjustments'!A29</f>
        <v>Income taxes payable</v>
      </c>
      <c r="B91" s="32">
        <f>'BS Analysis Adjustments'!AZ29</f>
        <v>0</v>
      </c>
      <c r="C91" s="32">
        <f>'BS Analysis Adjustments'!BA29</f>
        <v>0</v>
      </c>
      <c r="D91" s="32">
        <f>'BS Analysis Adjustments'!BB29</f>
        <v>0</v>
      </c>
      <c r="E91" s="32">
        <f>'BS Analysis Adjustments'!BC29</f>
        <v>0</v>
      </c>
      <c r="F91" s="32">
        <f>'BS Analysis Adjustments'!BD29</f>
        <v>0</v>
      </c>
      <c r="G91" s="32">
        <v>0</v>
      </c>
      <c r="H91" s="32" t="s">
        <v>694</v>
      </c>
    </row>
    <row r="92" spans="1:8" s="718" customFormat="1" ht="16.5" customHeight="1" x14ac:dyDescent="0.2">
      <c r="A92" s="32" t="str">
        <f>'BS Analysis Adjustments'!A31</f>
        <v>Capital lease obligation–current portion</v>
      </c>
      <c r="B92" s="32">
        <f>'BS Analysis Adjustments'!AZ31</f>
        <v>85</v>
      </c>
      <c r="C92" s="32">
        <f>'BS Analysis Adjustments'!BA31</f>
        <v>97</v>
      </c>
      <c r="D92" s="32">
        <f>'BS Analysis Adjustments'!BB31</f>
        <v>108</v>
      </c>
      <c r="E92" s="32">
        <f>'BS Analysis Adjustments'!BC31</f>
        <v>130</v>
      </c>
      <c r="F92" s="32">
        <f>'BS Analysis Adjustments'!BD31</f>
        <v>156</v>
      </c>
      <c r="G92" s="736">
        <v>180</v>
      </c>
      <c r="H92" s="32" t="s">
        <v>695</v>
      </c>
    </row>
    <row r="93" spans="1:8" s="718" customFormat="1" ht="16.5" customHeight="1" x14ac:dyDescent="0.2">
      <c r="A93" s="32" t="s">
        <v>587</v>
      </c>
      <c r="B93" s="32">
        <f>'BS Analysis Adjustments'!AZ32+'BS Analysis Adjustments'!AZ33</f>
        <v>506</v>
      </c>
      <c r="C93" s="32">
        <f>'BS Analysis Adjustments'!BA32+'BS Analysis Adjustments'!BA33</f>
        <v>7</v>
      </c>
      <c r="D93" s="32">
        <f>'BS Analysis Adjustments'!BB32+'BS Analysis Adjustments'!BB33</f>
        <v>7</v>
      </c>
      <c r="E93" s="32">
        <f>'BS Analysis Adjustments'!BC32+'BS Analysis Adjustments'!BC33</f>
        <v>8</v>
      </c>
      <c r="F93" s="32">
        <f>'BS Analysis Adjustments'!BD32+'BS Analysis Adjustments'!BD33</f>
        <v>10</v>
      </c>
      <c r="G93" s="736">
        <v>10</v>
      </c>
      <c r="H93" s="32" t="s">
        <v>662</v>
      </c>
    </row>
    <row r="94" spans="1:8" s="724" customFormat="1" ht="16.5" customHeight="1" x14ac:dyDescent="0.2">
      <c r="A94" s="71" t="s">
        <v>581</v>
      </c>
      <c r="B94" s="71">
        <f>'BS Analysis Adjustments'!AZ30+'BS Analysis Adjustments'!AZ34</f>
        <v>764</v>
      </c>
      <c r="C94" s="71">
        <f>'BS Analysis Adjustments'!BA30+'BS Analysis Adjustments'!BA34</f>
        <v>804</v>
      </c>
      <c r="D94" s="71">
        <f>'BS Analysis Adjustments'!BB30+'BS Analysis Adjustments'!BB34</f>
        <v>876</v>
      </c>
      <c r="E94" s="71">
        <f>'BS Analysis Adjustments'!BC30+'BS Analysis Adjustments'!BC34</f>
        <v>1048</v>
      </c>
      <c r="F94" s="71">
        <f>'BS Analysis Adjustments'!BD30+'BS Analysis Adjustments'!BD34</f>
        <v>1161</v>
      </c>
      <c r="G94" s="737">
        <v>1300</v>
      </c>
      <c r="H94" s="71" t="s">
        <v>638</v>
      </c>
    </row>
    <row r="95" spans="1:8" s="726" customFormat="1" ht="16.5" customHeight="1" x14ac:dyDescent="0.2">
      <c r="A95" s="66" t="str">
        <f>'BS Analysis Adjustments'!A35</f>
        <v>Total current liabilities</v>
      </c>
      <c r="B95" s="66">
        <f t="shared" ref="B95:G95" si="10">SUM(B90:B94)</f>
        <v>3933</v>
      </c>
      <c r="C95" s="66">
        <f t="shared" si="10"/>
        <v>3752</v>
      </c>
      <c r="D95" s="66">
        <f t="shared" si="10"/>
        <v>4099</v>
      </c>
      <c r="E95" s="66">
        <f t="shared" si="10"/>
        <v>4739</v>
      </c>
      <c r="F95" s="66">
        <f t="shared" si="10"/>
        <v>4758</v>
      </c>
      <c r="G95" s="66">
        <f t="shared" si="10"/>
        <v>5150</v>
      </c>
      <c r="H95" s="66" t="s">
        <v>649</v>
      </c>
    </row>
    <row r="96" spans="1:8" s="718" customFormat="1" ht="16.5" customHeight="1" x14ac:dyDescent="0.2">
      <c r="A96" s="32" t="s">
        <v>588</v>
      </c>
      <c r="B96" s="32">
        <f>'BS Analysis Adjustments'!AZ36+'BS Analysis Adjustments'!AZ38</f>
        <v>3141</v>
      </c>
      <c r="C96" s="32">
        <f>'BS Analysis Adjustments'!BA36+'BS Analysis Adjustments'!BA38</f>
        <v>3124</v>
      </c>
      <c r="D96" s="32">
        <f>'BS Analysis Adjustments'!BB36+'BS Analysis Adjustments'!BB38</f>
        <v>3106</v>
      </c>
      <c r="E96" s="32">
        <f>'BS Analysis Adjustments'!BC36+'BS Analysis Adjustments'!BC38</f>
        <v>3123</v>
      </c>
      <c r="F96" s="32">
        <f>'BS Analysis Adjustments'!BD36+'BS Analysis Adjustments'!BD38</f>
        <v>2795</v>
      </c>
      <c r="G96" s="32">
        <f>G99-G97-G98</f>
        <v>2420</v>
      </c>
      <c r="H96" s="32" t="s">
        <v>1071</v>
      </c>
    </row>
    <row r="97" spans="1:8" s="718" customFormat="1" ht="16.5" customHeight="1" x14ac:dyDescent="0.2">
      <c r="A97" s="32" t="str">
        <f>'BS Analysis Adjustments'!A37</f>
        <v xml:space="preserve">Capital lease obligation–noncurrent </v>
      </c>
      <c r="B97" s="32">
        <f>'BS Analysis Adjustments'!AZ37</f>
        <v>766</v>
      </c>
      <c r="C97" s="32">
        <f>'BS Analysis Adjustments'!BA37</f>
        <v>1173</v>
      </c>
      <c r="D97" s="32">
        <f>'BS Analysis Adjustments'!BB37</f>
        <v>1457</v>
      </c>
      <c r="E97" s="32">
        <f>'BS Analysis Adjustments'!BC37</f>
        <v>1696</v>
      </c>
      <c r="F97" s="32">
        <f>'BS Analysis Adjustments'!BD37</f>
        <v>2054</v>
      </c>
      <c r="G97" s="736">
        <v>2350</v>
      </c>
      <c r="H97" s="32" t="s">
        <v>665</v>
      </c>
    </row>
    <row r="98" spans="1:8" s="724" customFormat="1" ht="16.5" customHeight="1" x14ac:dyDescent="0.2">
      <c r="A98" s="71" t="s">
        <v>582</v>
      </c>
      <c r="B98" s="71">
        <f>'BS Analysis Adjustments'!AZ39+'BS Analysis Adjustments'!AZ40</f>
        <v>989</v>
      </c>
      <c r="C98" s="71">
        <f>'BS Analysis Adjustments'!BA39+'BS Analysis Adjustments'!BA40</f>
        <v>1298</v>
      </c>
      <c r="D98" s="71">
        <f>'BS Analysis Adjustments'!BB39+'BS Analysis Adjustments'!BB40</f>
        <v>1522</v>
      </c>
      <c r="E98" s="71">
        <f>'BS Analysis Adjustments'!BC39+'BS Analysis Adjustments'!BC40</f>
        <v>1165</v>
      </c>
      <c r="F98" s="71">
        <f>'BS Analysis Adjustments'!BD39+'BS Analysis Adjustments'!BD40</f>
        <v>1440</v>
      </c>
      <c r="G98" s="737">
        <f>ROUND(AVERAGE(B98:F98),-1)</f>
        <v>1280</v>
      </c>
      <c r="H98" s="71" t="s">
        <v>638</v>
      </c>
    </row>
    <row r="99" spans="1:8" s="729" customFormat="1" ht="16.5" customHeight="1" x14ac:dyDescent="0.2">
      <c r="A99" s="73" t="str">
        <f>'BS Analysis Adjustments'!A41</f>
        <v>Total noncurrent liabilities</v>
      </c>
      <c r="B99" s="73">
        <f>SUM(B96:B98)</f>
        <v>4896</v>
      </c>
      <c r="C99" s="73">
        <f>SUM(C96:C98)</f>
        <v>5595</v>
      </c>
      <c r="D99" s="73">
        <f>SUM(D96:D98)</f>
        <v>6085</v>
      </c>
      <c r="E99" s="73">
        <f>SUM(E96:E98)</f>
        <v>5984</v>
      </c>
      <c r="F99" s="73">
        <f>SUM(F96:F98)</f>
        <v>6289</v>
      </c>
      <c r="G99" s="73">
        <f>G100-G95</f>
        <v>6050</v>
      </c>
      <c r="H99" s="73" t="s">
        <v>663</v>
      </c>
    </row>
    <row r="100" spans="1:8" s="677" customFormat="1" ht="16.5" customHeight="1" x14ac:dyDescent="0.2">
      <c r="A100" s="41" t="str">
        <f>'BS Analysis Adjustments'!A42</f>
        <v>Total liabilities</v>
      </c>
      <c r="B100" s="41">
        <f>B95+B99</f>
        <v>8829</v>
      </c>
      <c r="C100" s="41">
        <f>C95+C99</f>
        <v>9347</v>
      </c>
      <c r="D100" s="41">
        <f>D95+D99</f>
        <v>10184</v>
      </c>
      <c r="E100" s="41">
        <f>E95+E99</f>
        <v>10723</v>
      </c>
      <c r="F100" s="41">
        <f>F95+F99</f>
        <v>11047</v>
      </c>
      <c r="G100" s="41">
        <f>G102-G101</f>
        <v>11200</v>
      </c>
      <c r="H100" s="41" t="s">
        <v>661</v>
      </c>
    </row>
    <row r="101" spans="1:8" s="725" customFormat="1" ht="16.5" customHeight="1" x14ac:dyDescent="0.2">
      <c r="A101" s="75" t="s">
        <v>583</v>
      </c>
      <c r="B101" s="75">
        <f>'BS Analysis Adjustments'!AZ44+'BS Analysis Adjustments'!AZ45</f>
        <v>0</v>
      </c>
      <c r="C101" s="75">
        <f>'BS Analysis Adjustments'!BA44+'BS Analysis Adjustments'!BA45</f>
        <v>0</v>
      </c>
      <c r="D101" s="75">
        <f>'BS Analysis Adjustments'!BB44+'BS Analysis Adjustments'!BB45</f>
        <v>0</v>
      </c>
      <c r="E101" s="75">
        <f>'BS Analysis Adjustments'!BC44+'BS Analysis Adjustments'!BC45</f>
        <v>0</v>
      </c>
      <c r="F101" s="75">
        <f>'BS Analysis Adjustments'!BD44+'BS Analysis Adjustments'!BD45</f>
        <v>0</v>
      </c>
      <c r="G101" s="739">
        <v>0</v>
      </c>
      <c r="H101" s="75" t="s">
        <v>660</v>
      </c>
    </row>
    <row r="102" spans="1:8" s="730" customFormat="1" ht="16.5" customHeight="1" x14ac:dyDescent="0.2">
      <c r="A102" s="76" t="s">
        <v>589</v>
      </c>
      <c r="B102" s="76">
        <f>SUM(B100:B101)</f>
        <v>8829</v>
      </c>
      <c r="C102" s="76">
        <f>SUM(C100:C101)</f>
        <v>9347</v>
      </c>
      <c r="D102" s="76">
        <f>SUM(D100:D101)</f>
        <v>10184</v>
      </c>
      <c r="E102" s="76">
        <f>SUM(E100:E101)</f>
        <v>10723</v>
      </c>
      <c r="F102" s="76">
        <f>SUM(F100:F101)</f>
        <v>11047</v>
      </c>
      <c r="G102" s="76">
        <f>G107-G106</f>
        <v>11200</v>
      </c>
      <c r="H102" s="76" t="s">
        <v>659</v>
      </c>
    </row>
    <row r="103" spans="1:8" s="726" customFormat="1" ht="16.5" customHeight="1" x14ac:dyDescent="0.2">
      <c r="A103" s="66" t="s">
        <v>590</v>
      </c>
      <c r="B103" s="66">
        <f>'BS Analysis Adjustments'!AZ46+'BS Analysis Adjustments'!AZ47+'BS Analysis Adjustments'!AZ48</f>
        <v>1484</v>
      </c>
      <c r="C103" s="66">
        <f>'BS Analysis Adjustments'!BA46+'BS Analysis Adjustments'!BA47+'BS Analysis Adjustments'!BA48</f>
        <v>1645</v>
      </c>
      <c r="D103" s="66">
        <f>'BS Analysis Adjustments'!BB46+'BS Analysis Adjustments'!BB47+'BS Analysis Adjustments'!BB48</f>
        <v>1827</v>
      </c>
      <c r="E103" s="66">
        <f>'BS Analysis Adjustments'!BC46+'BS Analysis Adjustments'!BC47+'BS Analysis Adjustments'!BC48</f>
        <v>2338</v>
      </c>
      <c r="F103" s="66">
        <f>'BS Analysis Adjustments'!BD46+'BS Analysis Adjustments'!BD47+'BS Analysis Adjustments'!BD48</f>
        <v>2539</v>
      </c>
      <c r="G103" s="66">
        <f>G160</f>
        <v>2540</v>
      </c>
      <c r="H103" s="66" t="s">
        <v>685</v>
      </c>
    </row>
    <row r="104" spans="1:8" s="718" customFormat="1" ht="16.5" customHeight="1" x14ac:dyDescent="0.2">
      <c r="A104" s="32" t="str">
        <f>'BS Analysis Adjustments'!A50</f>
        <v>Retained earnings</v>
      </c>
      <c r="B104" s="32">
        <f>'BS Analysis Adjustments'!AZ50</f>
        <v>517</v>
      </c>
      <c r="C104" s="32">
        <f>'BS Analysis Adjustments'!BA50</f>
        <v>315</v>
      </c>
      <c r="D104" s="32">
        <f>'BS Analysis Adjustments'!BB50</f>
        <v>292</v>
      </c>
      <c r="E104" s="32">
        <f>'BS Analysis Adjustments'!BC50</f>
        <v>166</v>
      </c>
      <c r="F104" s="32">
        <f>'BS Analysis Adjustments'!BD50</f>
        <v>-1610</v>
      </c>
      <c r="G104" s="32">
        <f>G167</f>
        <v>-1370</v>
      </c>
      <c r="H104" s="32" t="s">
        <v>684</v>
      </c>
    </row>
    <row r="105" spans="1:8" s="724" customFormat="1" ht="16.5" customHeight="1" x14ac:dyDescent="0.2">
      <c r="A105" s="71" t="s">
        <v>584</v>
      </c>
      <c r="B105" s="71">
        <f>'BS Analysis Adjustments'!AZ49+'BS Analysis Adjustments'!AZ51+'BS Analysis Adjustments'!AZ52</f>
        <v>-45</v>
      </c>
      <c r="C105" s="71">
        <f>'BS Analysis Adjustments'!BA49+'BS Analysis Adjustments'!BA51+'BS Analysis Adjustments'!BA52</f>
        <v>-47</v>
      </c>
      <c r="D105" s="71">
        <f>'BS Analysis Adjustments'!BB49+'BS Analysis Adjustments'!BB51+'BS Analysis Adjustments'!BB52</f>
        <v>-39</v>
      </c>
      <c r="E105" s="71">
        <f>'BS Analysis Adjustments'!BC49+'BS Analysis Adjustments'!BC51+'BS Analysis Adjustments'!BC52</f>
        <v>-64</v>
      </c>
      <c r="F105" s="71">
        <f>'BS Analysis Adjustments'!BD49+'BS Analysis Adjustments'!BD51+'BS Analysis Adjustments'!BD52</f>
        <v>-58</v>
      </c>
      <c r="G105" s="737">
        <f>ROUND(AVERAGE(B105:F105),-1)</f>
        <v>-50</v>
      </c>
      <c r="H105" s="71" t="s">
        <v>638</v>
      </c>
    </row>
    <row r="106" spans="1:8" s="677" customFormat="1" ht="16.5" customHeight="1" x14ac:dyDescent="0.2">
      <c r="A106" s="41" t="s">
        <v>696</v>
      </c>
      <c r="B106" s="41">
        <f t="shared" ref="B106:G106" si="11">SUM(B103:B105)</f>
        <v>1956</v>
      </c>
      <c r="C106" s="41">
        <f t="shared" si="11"/>
        <v>1913</v>
      </c>
      <c r="D106" s="41">
        <f t="shared" si="11"/>
        <v>2080</v>
      </c>
      <c r="E106" s="41">
        <f t="shared" si="11"/>
        <v>2440</v>
      </c>
      <c r="F106" s="41">
        <f t="shared" si="11"/>
        <v>871</v>
      </c>
      <c r="G106" s="41">
        <f t="shared" si="11"/>
        <v>1120</v>
      </c>
      <c r="H106" s="41" t="s">
        <v>649</v>
      </c>
    </row>
    <row r="107" spans="1:8" s="727" customFormat="1" ht="16.5" customHeight="1" thickBot="1" x14ac:dyDescent="0.25">
      <c r="A107" s="105" t="str">
        <f>'BS Analysis Adjustments'!A54</f>
        <v>Total liabilities and stockholders' equity</v>
      </c>
      <c r="B107" s="237">
        <f>B102+B106</f>
        <v>10785</v>
      </c>
      <c r="C107" s="237">
        <f>C102+C106</f>
        <v>11260</v>
      </c>
      <c r="D107" s="237">
        <f>D102+D106</f>
        <v>12264</v>
      </c>
      <c r="E107" s="237">
        <f>E102+E106</f>
        <v>13163</v>
      </c>
      <c r="F107" s="237">
        <f>F102+F106</f>
        <v>11918</v>
      </c>
      <c r="G107" s="237">
        <f>ROUND(G106*G29,-1)</f>
        <v>12320</v>
      </c>
      <c r="H107" s="105" t="s">
        <v>699</v>
      </c>
    </row>
    <row r="108" spans="1:8" s="683" customFormat="1" ht="16.5" customHeight="1" x14ac:dyDescent="0.2"/>
    <row r="109" spans="1:8" s="713" customFormat="1" ht="16.5" customHeight="1" x14ac:dyDescent="0.2">
      <c r="A109" s="711" t="str">
        <f>'BS Analysis Adjustments'!A56</f>
        <v>CHECK: A – (L + E) (S/B -0-)</v>
      </c>
      <c r="B109" s="712">
        <f t="shared" ref="B109:G109" si="12">B87-B107</f>
        <v>0</v>
      </c>
      <c r="C109" s="712">
        <f t="shared" si="12"/>
        <v>0</v>
      </c>
      <c r="D109" s="712">
        <f t="shared" si="12"/>
        <v>0</v>
      </c>
      <c r="E109" s="712">
        <f t="shared" si="12"/>
        <v>0</v>
      </c>
      <c r="F109" s="712">
        <f t="shared" si="12"/>
        <v>0</v>
      </c>
      <c r="G109" s="712">
        <f t="shared" si="12"/>
        <v>0</v>
      </c>
    </row>
    <row r="110" spans="1:8" s="725" customFormat="1" ht="6" customHeight="1" x14ac:dyDescent="0.2">
      <c r="A110" s="734"/>
    </row>
    <row r="111" spans="1:8" s="677" customFormat="1" ht="16.5" customHeight="1" x14ac:dyDescent="0.2"/>
    <row r="112" spans="1:8" s="677" customFormat="1" ht="16.5" customHeight="1" x14ac:dyDescent="0.2"/>
    <row r="113" spans="1:26" s="677" customFormat="1" ht="16.5" customHeight="1" x14ac:dyDescent="0.2"/>
    <row r="114" spans="1:26" s="710" customFormat="1" ht="16.5" customHeight="1" x14ac:dyDescent="0.2">
      <c r="A114" s="709" t="s">
        <v>591</v>
      </c>
    </row>
    <row r="115" spans="1:26" s="688" customFormat="1" ht="16.5" customHeight="1" x14ac:dyDescent="0.2">
      <c r="A115" s="54" t="s">
        <v>241</v>
      </c>
      <c r="B115" s="689" t="s">
        <v>607</v>
      </c>
      <c r="C115" s="690"/>
      <c r="D115" s="690"/>
      <c r="E115" s="690"/>
      <c r="F115" s="690"/>
      <c r="G115" s="47" t="s">
        <v>204</v>
      </c>
      <c r="H115" s="1169"/>
      <c r="I115" s="1169"/>
      <c r="J115" s="1169"/>
      <c r="K115" s="1169"/>
      <c r="L115" s="1169"/>
      <c r="M115" s="1169"/>
      <c r="N115" s="1169"/>
      <c r="O115" s="1169"/>
      <c r="P115" s="1169"/>
      <c r="Q115" s="1169"/>
      <c r="R115" s="1169"/>
      <c r="S115" s="1169"/>
      <c r="T115" s="1169"/>
      <c r="U115" s="1169"/>
      <c r="V115" s="1169"/>
      <c r="W115" s="1169"/>
      <c r="X115" s="1169"/>
      <c r="Y115" s="1169"/>
      <c r="Z115" s="1169"/>
    </row>
    <row r="116" spans="1:26" s="688" customFormat="1" ht="16.5" customHeight="1" x14ac:dyDescent="0.2">
      <c r="A116" s="18" t="s">
        <v>12</v>
      </c>
      <c r="B116" s="628">
        <f>'Common-size FS'!C102</f>
        <v>2011</v>
      </c>
      <c r="C116" s="628">
        <f>'Common-size FS'!D102</f>
        <v>2012</v>
      </c>
      <c r="D116" s="628">
        <f>'Common-size FS'!E102</f>
        <v>2013</v>
      </c>
      <c r="E116" s="628">
        <f>'Common-size FS'!F102</f>
        <v>2014</v>
      </c>
      <c r="F116" s="628">
        <f>'Common-size FS'!G102</f>
        <v>2015</v>
      </c>
      <c r="G116" s="628">
        <f>F116+1</f>
        <v>2016</v>
      </c>
      <c r="H116" s="18" t="s">
        <v>657</v>
      </c>
      <c r="I116" s="1169"/>
      <c r="J116" s="1169"/>
      <c r="K116" s="1169"/>
      <c r="L116" s="1169"/>
      <c r="M116" s="1169"/>
      <c r="N116" s="1169"/>
      <c r="O116" s="1169"/>
      <c r="P116" s="1169"/>
      <c r="Q116" s="1169"/>
      <c r="R116" s="1169"/>
      <c r="S116" s="1169"/>
      <c r="T116" s="1169"/>
      <c r="U116" s="1169"/>
      <c r="V116" s="1169"/>
      <c r="W116" s="1169"/>
      <c r="X116" s="1169"/>
      <c r="Y116" s="1169"/>
      <c r="Z116" s="1169"/>
    </row>
    <row r="117" spans="1:26" s="683" customFormat="1" ht="16.5" customHeight="1" x14ac:dyDescent="0.2">
      <c r="A117" s="33" t="str">
        <f>'Common-size FS'!A104</f>
        <v>Income from contin oper, incl noncontrol int</v>
      </c>
      <c r="B117" s="181">
        <f>'Common-size FS'!C104</f>
        <v>683</v>
      </c>
      <c r="C117" s="181">
        <f>'Common-size FS'!D104</f>
        <v>735</v>
      </c>
      <c r="D117" s="181">
        <f>'Common-size FS'!E104</f>
        <v>734</v>
      </c>
      <c r="E117" s="181">
        <f>'Common-size FS'!F104</f>
        <v>720</v>
      </c>
      <c r="F117" s="181">
        <f>'Common-size FS'!G104</f>
        <v>600</v>
      </c>
      <c r="G117" s="183">
        <f>G68</f>
        <v>520</v>
      </c>
      <c r="H117" s="33" t="s">
        <v>645</v>
      </c>
    </row>
    <row r="118" spans="1:26" ht="16.5" customHeight="1" x14ac:dyDescent="0.2">
      <c r="A118" s="12" t="str">
        <f>'Common-size FS'!A105</f>
        <v>Adjustments to reconcile income to OCF</v>
      </c>
      <c r="G118" s="718"/>
    </row>
    <row r="119" spans="1:26" ht="16.5" customHeight="1" x14ac:dyDescent="0.2">
      <c r="A119" s="31" t="str">
        <f>'Common-size FS'!A106</f>
        <v>Depreciation and amortization (D&amp;A)</v>
      </c>
      <c r="B119" s="31">
        <f>'Common-size FS'!C106</f>
        <v>325</v>
      </c>
      <c r="C119" s="31">
        <f>'Common-size FS'!D106</f>
        <v>366</v>
      </c>
      <c r="D119" s="31">
        <f>'Common-size FS'!E106</f>
        <v>396</v>
      </c>
      <c r="E119" s="31">
        <f>'Common-size FS'!F106</f>
        <v>432</v>
      </c>
      <c r="F119" s="31">
        <f>'Common-size FS'!G106</f>
        <v>497</v>
      </c>
      <c r="G119" s="32">
        <f>G51</f>
        <v>810</v>
      </c>
      <c r="H119" s="31" t="s">
        <v>645</v>
      </c>
    </row>
    <row r="120" spans="1:26" ht="16.5" customHeight="1" x14ac:dyDescent="0.2">
      <c r="A120" s="31" t="str">
        <f>'Common-size FS'!A107</f>
        <v>Stock-based compensation expense</v>
      </c>
      <c r="B120" s="31">
        <f>'Common-size FS'!C107</f>
        <v>48</v>
      </c>
      <c r="C120" s="31">
        <f>'Common-size FS'!D107</f>
        <v>52</v>
      </c>
      <c r="D120" s="31">
        <f>'Common-size FS'!E107</f>
        <v>56</v>
      </c>
      <c r="E120" s="31">
        <f>'Common-size FS'!F107</f>
        <v>66</v>
      </c>
      <c r="F120" s="31">
        <f>'Common-size FS'!G107</f>
        <v>70</v>
      </c>
      <c r="G120" s="736">
        <v>77</v>
      </c>
      <c r="H120" s="31" t="s">
        <v>1059</v>
      </c>
    </row>
    <row r="121" spans="1:26" ht="16.5" customHeight="1" x14ac:dyDescent="0.2">
      <c r="A121" s="31" t="s">
        <v>646</v>
      </c>
      <c r="B121" s="31">
        <f>SUM('Common-size FS'!C108:C115)</f>
        <v>101</v>
      </c>
      <c r="C121" s="31">
        <f>SUM('Common-size FS'!D108:D115)</f>
        <v>56</v>
      </c>
      <c r="D121" s="31">
        <f>SUM('Common-size FS'!E108:E115)</f>
        <v>52</v>
      </c>
      <c r="E121" s="31">
        <f>SUM('Common-size FS'!F108:F115)</f>
        <v>41</v>
      </c>
      <c r="F121" s="31">
        <f>SUM('Common-size FS'!G108:G115)</f>
        <v>26</v>
      </c>
      <c r="G121" s="32">
        <f>-SUM(G57:G64)</f>
        <v>0</v>
      </c>
      <c r="H121" s="31" t="s">
        <v>645</v>
      </c>
    </row>
    <row r="122" spans="1:26" ht="16.5" customHeight="1" x14ac:dyDescent="0.2">
      <c r="A122" s="31" t="s">
        <v>647</v>
      </c>
      <c r="B122" s="31">
        <f>'Common-size FS'!C117+'Common-size FS'!C118+'Common-size FS'!C119+'Common-size FS'!C120+'Common-size FS'!C121+'Common-size FS'!C122+'Common-size FS'!C123+'Common-size FS'!C124+'Common-size FS'!C125</f>
        <v>20</v>
      </c>
      <c r="C122" s="31">
        <f>'Common-size FS'!D117+'Common-size FS'!D118+'Common-size FS'!D119+'Common-size FS'!D120+'Common-size FS'!D121+'Common-size FS'!D122+'Common-size FS'!D123+'Common-size FS'!D124+'Common-size FS'!D125</f>
        <v>-99</v>
      </c>
      <c r="D122" s="31">
        <f>'Common-size FS'!E117+'Common-size FS'!E118+'Common-size FS'!E119+'Common-size FS'!E120+'Common-size FS'!E121+'Common-size FS'!E122+'Common-size FS'!E123+'Common-size FS'!E124+'Common-size FS'!E125</f>
        <v>82</v>
      </c>
      <c r="E122" s="31">
        <f>'Common-size FS'!F117+'Common-size FS'!F118+'Common-size FS'!F119+'Common-size FS'!F120+'Common-size FS'!F121+'Common-size FS'!F122+'Common-size FS'!F123+'Common-size FS'!F124+'Common-size FS'!F125</f>
        <v>-39</v>
      </c>
      <c r="F122" s="31">
        <f>'Common-size FS'!G117+'Common-size FS'!G118+'Common-size FS'!G119+'Common-size FS'!G120+'Common-size FS'!G121+'Common-size FS'!G122+'Common-size FS'!G123+'Common-size FS'!G124+'Common-size FS'!G125</f>
        <v>1258</v>
      </c>
      <c r="G122" s="32">
        <f>(F78-G78)+(F79-G79)+(F80-G80)+(-F90+G90)+(-F91+G91)+(-F94+G94)</f>
        <v>358</v>
      </c>
      <c r="H122" s="31" t="s">
        <v>658</v>
      </c>
    </row>
    <row r="123" spans="1:26" s="714" customFormat="1" ht="16.5" customHeight="1" x14ac:dyDescent="0.2">
      <c r="A123" s="89" t="s">
        <v>648</v>
      </c>
      <c r="B123" s="89">
        <f t="shared" ref="B123:G123" si="13">SUM(B117:B122)</f>
        <v>1177</v>
      </c>
      <c r="C123" s="89">
        <f t="shared" si="13"/>
        <v>1110</v>
      </c>
      <c r="D123" s="89">
        <f t="shared" si="13"/>
        <v>1320</v>
      </c>
      <c r="E123" s="89">
        <f t="shared" si="13"/>
        <v>1220</v>
      </c>
      <c r="F123" s="89">
        <f t="shared" si="13"/>
        <v>2451</v>
      </c>
      <c r="G123" s="76">
        <f t="shared" si="13"/>
        <v>1765</v>
      </c>
      <c r="H123" s="89" t="s">
        <v>649</v>
      </c>
    </row>
    <row r="124" spans="1:26" s="685" customFormat="1" ht="6" customHeight="1" x14ac:dyDescent="0.2"/>
    <row r="125" spans="1:26" s="683" customFormat="1" ht="16.5" customHeight="1" x14ac:dyDescent="0.2">
      <c r="A125" s="19" t="str">
        <f>'Common-size FS'!A131</f>
        <v>Cash flows from investing activities</v>
      </c>
    </row>
    <row r="126" spans="1:26" ht="16.5" customHeight="1" x14ac:dyDescent="0.2">
      <c r="A126" s="31" t="s">
        <v>592</v>
      </c>
      <c r="B126" s="736">
        <f>'Common-size FS'!C132+'Common-size FS'!C133+'Common-size FS'!C136</f>
        <v>-511</v>
      </c>
      <c r="C126" s="736">
        <f>'Common-size FS'!D132+'Common-size FS'!D133+'Common-size FS'!D136</f>
        <v>-513</v>
      </c>
      <c r="D126" s="736">
        <f>'Common-size FS'!E132+'Common-size FS'!E133+'Common-size FS'!E136</f>
        <v>-803</v>
      </c>
      <c r="E126" s="736">
        <f>'Common-size FS'!F132+'Common-size FS'!F133+'Common-size FS'!F136</f>
        <v>-861</v>
      </c>
      <c r="F126" s="736">
        <f>'Common-size FS'!G132+'Common-size FS'!G133+'Common-size FS'!G136</f>
        <v>-1082</v>
      </c>
      <c r="G126" s="32">
        <f>F82-G82</f>
        <v>-1127</v>
      </c>
      <c r="H126" s="31" t="s">
        <v>755</v>
      </c>
    </row>
    <row r="127" spans="1:26" ht="16.5" customHeight="1" x14ac:dyDescent="0.2">
      <c r="A127" s="31" t="s">
        <v>639</v>
      </c>
      <c r="B127" s="31">
        <f>'Common-size FS'!C134+'Common-size FS'!C135</f>
        <v>0</v>
      </c>
      <c r="C127" s="31">
        <f>'Common-size FS'!D134+'Common-size FS'!D135</f>
        <v>0</v>
      </c>
      <c r="D127" s="31">
        <f>'Common-size FS'!E134+'Common-size FS'!E135</f>
        <v>0</v>
      </c>
      <c r="E127" s="31">
        <f>'Common-size FS'!F134+'Common-size FS'!F135</f>
        <v>0</v>
      </c>
      <c r="F127" s="31">
        <f>'Common-size FS'!G134+'Common-size FS'!G135</f>
        <v>0</v>
      </c>
      <c r="G127" s="32">
        <f>F77-G77</f>
        <v>0</v>
      </c>
      <c r="H127" s="31" t="s">
        <v>598</v>
      </c>
    </row>
    <row r="128" spans="1:26" s="685" customFormat="1" ht="16.5" customHeight="1" x14ac:dyDescent="0.2">
      <c r="A128" s="39" t="s">
        <v>643</v>
      </c>
      <c r="B128" s="739">
        <f>'Common-size FS'!C137</f>
        <v>-217</v>
      </c>
      <c r="C128" s="739">
        <f>'Common-size FS'!D137</f>
        <v>144</v>
      </c>
      <c r="D128" s="739">
        <f>'Common-size FS'!E137</f>
        <v>-19</v>
      </c>
      <c r="E128" s="739">
        <f>'Common-size FS'!F137</f>
        <v>-28</v>
      </c>
      <c r="F128" s="739">
        <f>'Common-size FS'!G137</f>
        <v>938</v>
      </c>
      <c r="G128" s="75">
        <f>SUM(F85:F86)-SUM(G85:G86)</f>
        <v>143</v>
      </c>
      <c r="H128" s="39" t="s">
        <v>600</v>
      </c>
    </row>
    <row r="129" spans="1:8" s="714" customFormat="1" ht="16.5" customHeight="1" x14ac:dyDescent="0.2">
      <c r="A129" s="89" t="str">
        <f>'Common-size FS'!A138</f>
        <v>Net cash provided (used) by invest activities</v>
      </c>
      <c r="B129" s="89">
        <f t="shared" ref="B129:G129" si="14">SUM(B126:B128)</f>
        <v>-728</v>
      </c>
      <c r="C129" s="89">
        <f t="shared" si="14"/>
        <v>-369</v>
      </c>
      <c r="D129" s="89">
        <f t="shared" si="14"/>
        <v>-822</v>
      </c>
      <c r="E129" s="89">
        <f t="shared" si="14"/>
        <v>-889</v>
      </c>
      <c r="F129" s="89">
        <f t="shared" si="14"/>
        <v>-144</v>
      </c>
      <c r="G129" s="76">
        <f t="shared" si="14"/>
        <v>-984</v>
      </c>
      <c r="H129" s="89" t="s">
        <v>649</v>
      </c>
    </row>
    <row r="130" spans="1:8" s="1169" customFormat="1" ht="6" customHeight="1" x14ac:dyDescent="0.2"/>
    <row r="131" spans="1:8" s="683" customFormat="1" ht="16.5" customHeight="1" x14ac:dyDescent="0.2">
      <c r="A131" s="19" t="str">
        <f>'Common-size FS'!A140</f>
        <v>Cash flows from financing activities</v>
      </c>
    </row>
    <row r="132" spans="1:8" ht="16.5" customHeight="1" x14ac:dyDescent="0.2">
      <c r="A132" s="31" t="s">
        <v>641</v>
      </c>
      <c r="B132" s="31">
        <f>'Common-size FS'!C141+'Common-size FS'!C142</f>
        <v>818</v>
      </c>
      <c r="C132" s="31">
        <f>'Common-size FS'!D141+'Common-size FS'!D142</f>
        <v>-506</v>
      </c>
      <c r="D132" s="31">
        <f>'Common-size FS'!E141+'Common-size FS'!E142</f>
        <v>-8</v>
      </c>
      <c r="E132" s="31">
        <f>'Common-size FS'!F141+'Common-size FS'!F142</f>
        <v>27</v>
      </c>
      <c r="F132" s="31">
        <f>'Common-size FS'!G141+'Common-size FS'!G142</f>
        <v>-331</v>
      </c>
      <c r="G132" s="32">
        <f>-SUM(F92,F93,F96,F97,F101)+SUM(G92,G93,G96,G97,G101)</f>
        <v>-55</v>
      </c>
      <c r="H132" s="31" t="s">
        <v>635</v>
      </c>
    </row>
    <row r="133" spans="1:8" ht="16.5" customHeight="1" x14ac:dyDescent="0.2">
      <c r="A133" s="31" t="str">
        <f>'Common-size FS'!A143</f>
        <v xml:space="preserve">Dividends paid–preferred and common </v>
      </c>
      <c r="B133" s="31">
        <f>'Common-size FS'!C143</f>
        <v>-197</v>
      </c>
      <c r="C133" s="31">
        <f>'Common-size FS'!D143</f>
        <v>-220</v>
      </c>
      <c r="D133" s="31">
        <f>'Common-size FS'!E143</f>
        <v>-234</v>
      </c>
      <c r="E133" s="31">
        <f>'Common-size FS'!F143</f>
        <v>-251</v>
      </c>
      <c r="F133" s="31">
        <f>'Common-size FS'!G143</f>
        <v>-1185</v>
      </c>
      <c r="G133" s="32">
        <f>G165+G166</f>
        <v>-280</v>
      </c>
      <c r="H133" s="31" t="s">
        <v>759</v>
      </c>
    </row>
    <row r="134" spans="1:8" ht="16.5" customHeight="1" x14ac:dyDescent="0.2">
      <c r="A134" s="31" t="s">
        <v>640</v>
      </c>
      <c r="B134" s="31">
        <f>'Common-size FS'!C144+'Common-size FS'!C145</f>
        <v>-742</v>
      </c>
      <c r="C134" s="31">
        <f>'Common-size FS'!D144+'Common-size FS'!D145</f>
        <v>-610</v>
      </c>
      <c r="D134" s="31">
        <f>'Common-size FS'!E144+'Common-size FS'!E145</f>
        <v>-389</v>
      </c>
      <c r="E134" s="31">
        <f>'Common-size FS'!F144+'Common-size FS'!F145</f>
        <v>-447</v>
      </c>
      <c r="F134" s="31">
        <f>'Common-size FS'!G144+'Common-size FS'!G145</f>
        <v>-1083</v>
      </c>
      <c r="G134" s="32">
        <f>-F103+G103</f>
        <v>1</v>
      </c>
      <c r="H134" s="31" t="s">
        <v>601</v>
      </c>
    </row>
    <row r="135" spans="1:8" s="685" customFormat="1" ht="16.5" customHeight="1" x14ac:dyDescent="0.2">
      <c r="A135" s="39" t="s">
        <v>642</v>
      </c>
      <c r="B135" s="39">
        <f>'Common-size FS'!C146</f>
        <v>43</v>
      </c>
      <c r="C135" s="39">
        <f>'Common-size FS'!D146</f>
        <v>3</v>
      </c>
      <c r="D135" s="39">
        <f>'Common-size FS'!E146</f>
        <v>42</v>
      </c>
      <c r="E135" s="39">
        <f>'Common-size FS'!F146</f>
        <v>-27</v>
      </c>
      <c r="F135" s="39">
        <f>'Common-size FS'!G146</f>
        <v>60</v>
      </c>
      <c r="G135" s="75">
        <f>-F98+G98</f>
        <v>-160</v>
      </c>
      <c r="H135" s="39" t="s">
        <v>602</v>
      </c>
    </row>
    <row r="136" spans="1:8" s="717" customFormat="1" ht="16.5" customHeight="1" x14ac:dyDescent="0.2">
      <c r="A136" s="478" t="str">
        <f>'Common-size FS'!A147</f>
        <v>Net cash used in financing activities</v>
      </c>
      <c r="B136" s="478">
        <f t="shared" ref="B136:G136" si="15">SUM(B132:B135)</f>
        <v>-78</v>
      </c>
      <c r="C136" s="478">
        <f t="shared" si="15"/>
        <v>-1333</v>
      </c>
      <c r="D136" s="478">
        <f t="shared" si="15"/>
        <v>-589</v>
      </c>
      <c r="E136" s="478">
        <f t="shared" si="15"/>
        <v>-698</v>
      </c>
      <c r="F136" s="478">
        <f t="shared" si="15"/>
        <v>-2539</v>
      </c>
      <c r="G136" s="255">
        <f t="shared" si="15"/>
        <v>-494</v>
      </c>
      <c r="H136" s="478" t="s">
        <v>649</v>
      </c>
    </row>
    <row r="137" spans="1:8" ht="16.5" customHeight="1" x14ac:dyDescent="0.2">
      <c r="A137" s="31" t="str">
        <f>'Common-size FS'!A149</f>
        <v>Effect exchng rate changes on cash/equiv's</v>
      </c>
      <c r="B137" s="31">
        <f>'Common-size FS'!C149</f>
        <v>0</v>
      </c>
      <c r="C137" s="31">
        <f>'Common-size FS'!D149</f>
        <v>0</v>
      </c>
      <c r="D137" s="31">
        <f>'Common-size FS'!E149</f>
        <v>0</v>
      </c>
      <c r="E137" s="31">
        <f>'Common-size FS'!F149</f>
        <v>0</v>
      </c>
      <c r="F137" s="31">
        <f>'Common-size FS'!G149</f>
        <v>0</v>
      </c>
      <c r="G137" s="31">
        <v>0</v>
      </c>
      <c r="H137" s="31" t="s">
        <v>650</v>
      </c>
    </row>
    <row r="138" spans="1:8" s="684" customFormat="1" ht="16.5" customHeight="1" x14ac:dyDescent="0.2">
      <c r="A138" s="34" t="s">
        <v>644</v>
      </c>
      <c r="B138" s="71">
        <f t="shared" ref="B138:G138" si="16">B139-(B123+B129+B136+B137)</f>
        <v>0</v>
      </c>
      <c r="C138" s="71">
        <f t="shared" si="16"/>
        <v>0</v>
      </c>
      <c r="D138" s="71">
        <f t="shared" si="16"/>
        <v>0</v>
      </c>
      <c r="E138" s="71">
        <f t="shared" si="16"/>
        <v>0</v>
      </c>
      <c r="F138" s="71">
        <f t="shared" si="16"/>
        <v>0</v>
      </c>
      <c r="G138" s="71">
        <f t="shared" si="16"/>
        <v>-67</v>
      </c>
      <c r="H138" s="34" t="s">
        <v>651</v>
      </c>
    </row>
    <row r="139" spans="1:8" s="683" customFormat="1" ht="16.5" customHeight="1" x14ac:dyDescent="0.2">
      <c r="A139" s="33" t="str">
        <f>'Common-size FS'!A150</f>
        <v>Net increase in cash and cash equivalents</v>
      </c>
      <c r="B139" s="33">
        <f t="shared" ref="B139:G139" si="17">B141-B140</f>
        <v>371</v>
      </c>
      <c r="C139" s="33">
        <f t="shared" si="17"/>
        <v>-592</v>
      </c>
      <c r="D139" s="33">
        <f t="shared" si="17"/>
        <v>-91</v>
      </c>
      <c r="E139" s="33">
        <f t="shared" si="17"/>
        <v>-367</v>
      </c>
      <c r="F139" s="33">
        <f t="shared" si="17"/>
        <v>-232</v>
      </c>
      <c r="G139" s="33">
        <f t="shared" si="17"/>
        <v>220</v>
      </c>
      <c r="H139" s="33" t="s">
        <v>603</v>
      </c>
    </row>
    <row r="140" spans="1:8" s="685" customFormat="1" ht="16.5" customHeight="1" x14ac:dyDescent="0.2">
      <c r="A140" s="39" t="str">
        <f>'Common-size FS'!A151</f>
        <v>Cash and cash equivalents at begin of FY</v>
      </c>
      <c r="B140" s="39">
        <f>'Common-size FS'!C151</f>
        <v>1506</v>
      </c>
      <c r="C140" s="39">
        <f>B141</f>
        <v>1877</v>
      </c>
      <c r="D140" s="39">
        <f>C141</f>
        <v>1285</v>
      </c>
      <c r="E140" s="39">
        <f>D141</f>
        <v>1194</v>
      </c>
      <c r="F140" s="39">
        <f>E141</f>
        <v>827</v>
      </c>
      <c r="G140" s="39">
        <f>F141</f>
        <v>595</v>
      </c>
      <c r="H140" s="39" t="s">
        <v>652</v>
      </c>
    </row>
    <row r="141" spans="1:8" s="687" customFormat="1" ht="16.5" customHeight="1" thickBot="1" x14ac:dyDescent="0.25">
      <c r="A141" s="37" t="str">
        <f>'Common-size FS'!A152</f>
        <v>Cash and cash equivalents at end of FY</v>
      </c>
      <c r="B141" s="37">
        <f>'Common-size FS'!C152</f>
        <v>1877</v>
      </c>
      <c r="C141" s="37">
        <f>'Common-size FS'!D152</f>
        <v>1285</v>
      </c>
      <c r="D141" s="37">
        <f>'Common-size FS'!E152</f>
        <v>1194</v>
      </c>
      <c r="E141" s="37">
        <f>'Common-size FS'!F152</f>
        <v>827</v>
      </c>
      <c r="F141" s="37">
        <f>'Common-size FS'!G152</f>
        <v>595</v>
      </c>
      <c r="G141" s="37">
        <f>G76</f>
        <v>815</v>
      </c>
      <c r="H141" s="37" t="s">
        <v>653</v>
      </c>
    </row>
    <row r="142" spans="1:8" s="1169" customFormat="1" ht="6" customHeight="1" x14ac:dyDescent="0.2"/>
    <row r="143" spans="1:8" s="1169" customFormat="1" ht="16.5" customHeight="1" x14ac:dyDescent="0.2"/>
    <row r="144" spans="1:8" s="710" customFormat="1" ht="16.5" customHeight="1" x14ac:dyDescent="0.2">
      <c r="A144" s="709" t="s">
        <v>727</v>
      </c>
    </row>
    <row r="145" spans="1:26" s="688" customFormat="1" ht="16.5" customHeight="1" x14ac:dyDescent="0.2">
      <c r="A145" s="54" t="s">
        <v>241</v>
      </c>
      <c r="B145" s="901"/>
      <c r="C145" s="901"/>
      <c r="D145" s="901"/>
      <c r="E145" s="901"/>
      <c r="F145" s="901"/>
      <c r="G145" s="1207"/>
      <c r="H145" s="1169"/>
      <c r="I145" s="1169"/>
      <c r="J145" s="1169"/>
      <c r="K145" s="1169"/>
      <c r="L145" s="1169"/>
      <c r="M145" s="1169"/>
      <c r="N145" s="1169"/>
      <c r="O145" s="1169"/>
      <c r="P145" s="1169"/>
      <c r="Q145" s="1169"/>
      <c r="R145" s="1169"/>
      <c r="S145" s="1169"/>
      <c r="T145" s="1169"/>
      <c r="U145" s="1169"/>
      <c r="V145" s="1169"/>
      <c r="W145" s="1169"/>
      <c r="X145" s="1169"/>
      <c r="Y145" s="1169"/>
      <c r="Z145" s="1169"/>
    </row>
    <row r="146" spans="1:26" s="688" customFormat="1" ht="16.5" customHeight="1" x14ac:dyDescent="0.2">
      <c r="A146" s="18" t="s">
        <v>126</v>
      </c>
      <c r="B146" s="901"/>
      <c r="C146" s="901"/>
      <c r="D146" s="901"/>
      <c r="E146" s="901"/>
      <c r="F146" s="901"/>
      <c r="G146" s="901"/>
      <c r="H146" s="18" t="s">
        <v>657</v>
      </c>
      <c r="I146" s="1169"/>
      <c r="J146" s="1169"/>
      <c r="K146" s="1169"/>
      <c r="L146" s="1169"/>
      <c r="M146" s="1169"/>
      <c r="N146" s="1169"/>
      <c r="O146" s="1169"/>
      <c r="P146" s="1169"/>
      <c r="Q146" s="1169"/>
      <c r="R146" s="1169"/>
      <c r="S146" s="1169"/>
      <c r="T146" s="1169"/>
      <c r="U146" s="1169"/>
      <c r="V146" s="1169"/>
      <c r="W146" s="1169"/>
      <c r="X146" s="1169"/>
      <c r="Y146" s="1169"/>
      <c r="Z146" s="1169"/>
    </row>
    <row r="147" spans="1:26" s="748" customFormat="1" ht="16.5" customHeight="1" x14ac:dyDescent="0.2">
      <c r="A147" s="31" t="s">
        <v>678</v>
      </c>
      <c r="G147" s="381">
        <f>ROUND(F82,-1)</f>
        <v>11050</v>
      </c>
      <c r="H147" s="381" t="s">
        <v>1068</v>
      </c>
    </row>
    <row r="148" spans="1:26" s="722" customFormat="1" ht="16.5" customHeight="1" x14ac:dyDescent="0.2">
      <c r="A148" s="39" t="s">
        <v>687</v>
      </c>
      <c r="B148" s="685"/>
      <c r="C148" s="685"/>
      <c r="D148" s="685"/>
      <c r="E148" s="685"/>
      <c r="F148" s="685"/>
      <c r="G148" s="39">
        <f>ROUND(G44*G28,-1)</f>
        <v>1130</v>
      </c>
      <c r="H148" s="182" t="s">
        <v>733</v>
      </c>
    </row>
    <row r="149" spans="1:26" s="749" customFormat="1" ht="16.5" customHeight="1" thickBot="1" x14ac:dyDescent="0.25">
      <c r="A149" s="37" t="s">
        <v>736</v>
      </c>
      <c r="G149" s="387">
        <f>SUM(G147:G148)</f>
        <v>12180</v>
      </c>
      <c r="H149" s="387" t="s">
        <v>735</v>
      </c>
    </row>
    <row r="150" spans="1:26" s="1169" customFormat="1" ht="6" customHeight="1" x14ac:dyDescent="0.2"/>
    <row r="151" spans="1:26" s="683" customFormat="1" ht="16.5" customHeight="1" x14ac:dyDescent="0.2">
      <c r="A151" s="19" t="s">
        <v>729</v>
      </c>
    </row>
    <row r="152" spans="1:26" s="748" customFormat="1" ht="16.5" customHeight="1" x14ac:dyDescent="0.2">
      <c r="A152" s="31" t="s">
        <v>678</v>
      </c>
      <c r="G152" s="381">
        <f>ROUND(-F83,-1)</f>
        <v>5110</v>
      </c>
      <c r="H152" s="381" t="s">
        <v>1068</v>
      </c>
    </row>
    <row r="153" spans="1:26" ht="16.5" customHeight="1" x14ac:dyDescent="0.2">
      <c r="A153" s="31" t="s">
        <v>688</v>
      </c>
      <c r="G153" s="31">
        <f>ROUND(F82*G18,-1)</f>
        <v>810</v>
      </c>
      <c r="H153" s="31" t="s">
        <v>683</v>
      </c>
    </row>
    <row r="154" spans="1:26" s="749" customFormat="1" ht="16.5" customHeight="1" thickBot="1" x14ac:dyDescent="0.25">
      <c r="A154" s="37" t="s">
        <v>736</v>
      </c>
      <c r="G154" s="387">
        <f>SUM(G152:G153)</f>
        <v>5920</v>
      </c>
      <c r="H154" s="387" t="s">
        <v>735</v>
      </c>
    </row>
    <row r="155" spans="1:26" s="685" customFormat="1" ht="6" customHeight="1" x14ac:dyDescent="0.2"/>
    <row r="156" spans="1:26" s="683" customFormat="1" ht="16.5" customHeight="1" x14ac:dyDescent="0.2">
      <c r="A156" s="19" t="s">
        <v>730</v>
      </c>
      <c r="F156" s="750" t="s">
        <v>754</v>
      </c>
      <c r="G156" s="750" t="s">
        <v>753</v>
      </c>
    </row>
    <row r="157" spans="1:26" s="748" customFormat="1" ht="16.5" customHeight="1" x14ac:dyDescent="0.2">
      <c r="A157" s="31" t="s">
        <v>678</v>
      </c>
      <c r="F157" s="110">
        <f>'Financial Ratios'!G140</f>
        <v>190.1</v>
      </c>
      <c r="G157" s="381">
        <f>ROUND(F103,-1)</f>
        <v>2540</v>
      </c>
      <c r="H157" s="381" t="s">
        <v>1068</v>
      </c>
    </row>
    <row r="158" spans="1:26" ht="16.5" customHeight="1" x14ac:dyDescent="0.2">
      <c r="A158" s="31" t="s">
        <v>686</v>
      </c>
      <c r="F158" s="738">
        <v>0</v>
      </c>
      <c r="G158" s="736">
        <v>0</v>
      </c>
      <c r="H158" s="31" t="s">
        <v>752</v>
      </c>
    </row>
    <row r="159" spans="1:26" ht="16.5" customHeight="1" x14ac:dyDescent="0.2">
      <c r="A159" s="31" t="s">
        <v>751</v>
      </c>
      <c r="F159" s="738">
        <v>0</v>
      </c>
      <c r="G159" s="736">
        <v>0</v>
      </c>
      <c r="H159" s="31" t="s">
        <v>752</v>
      </c>
    </row>
    <row r="160" spans="1:26" s="749" customFormat="1" ht="16.5" customHeight="1" thickBot="1" x14ac:dyDescent="0.25">
      <c r="A160" s="37" t="s">
        <v>736</v>
      </c>
      <c r="F160" s="751">
        <f>F157+F158-F159</f>
        <v>190.1</v>
      </c>
      <c r="G160" s="387">
        <f>G157+G158-G159</f>
        <v>2540</v>
      </c>
      <c r="H160" s="387" t="s">
        <v>735</v>
      </c>
    </row>
    <row r="161" spans="1:33" s="685" customFormat="1" ht="6" customHeight="1" x14ac:dyDescent="0.2"/>
    <row r="162" spans="1:33" s="683" customFormat="1" ht="16.5" customHeight="1" x14ac:dyDescent="0.2">
      <c r="A162" s="19" t="s">
        <v>71</v>
      </c>
    </row>
    <row r="163" spans="1:33" s="748" customFormat="1" ht="16.5" customHeight="1" x14ac:dyDescent="0.2">
      <c r="A163" s="31" t="s">
        <v>678</v>
      </c>
      <c r="G163" s="381">
        <f>ROUND(F104,-1)</f>
        <v>-1610</v>
      </c>
      <c r="H163" s="381" t="s">
        <v>1068</v>
      </c>
    </row>
    <row r="164" spans="1:33" ht="16.5" customHeight="1" x14ac:dyDescent="0.2">
      <c r="A164" s="120" t="s">
        <v>748</v>
      </c>
      <c r="G164" s="31">
        <f>G70</f>
        <v>520</v>
      </c>
      <c r="H164" s="31" t="s">
        <v>731</v>
      </c>
    </row>
    <row r="165" spans="1:33" ht="16.5" customHeight="1" x14ac:dyDescent="0.2">
      <c r="A165" s="31" t="s">
        <v>749</v>
      </c>
      <c r="G165" s="31">
        <v>0</v>
      </c>
      <c r="H165" s="31" t="s">
        <v>679</v>
      </c>
    </row>
    <row r="166" spans="1:33" ht="16.5" customHeight="1" x14ac:dyDescent="0.2">
      <c r="A166" s="31" t="s">
        <v>750</v>
      </c>
      <c r="G166" s="31">
        <f>-ROUND(AVERAGE(F157,F160)*G30,-1)</f>
        <v>-280</v>
      </c>
      <c r="H166" s="31" t="s">
        <v>765</v>
      </c>
    </row>
    <row r="167" spans="1:33" s="749" customFormat="1" ht="16.5" customHeight="1" thickBot="1" x14ac:dyDescent="0.25">
      <c r="A167" s="37" t="s">
        <v>736</v>
      </c>
      <c r="G167" s="387">
        <f>SUM(G163:G166)</f>
        <v>-1370</v>
      </c>
      <c r="H167" s="387" t="s">
        <v>735</v>
      </c>
    </row>
    <row r="168" spans="1:33" ht="6" customHeight="1" x14ac:dyDescent="0.2"/>
    <row r="171" spans="1:33" s="87" customFormat="1" ht="16.899999999999999" customHeight="1" x14ac:dyDescent="0.2">
      <c r="A171" s="1038" t="s">
        <v>1041</v>
      </c>
      <c r="B171" s="791"/>
      <c r="C171" s="791"/>
      <c r="D171" s="1019"/>
      <c r="E171" s="1019"/>
      <c r="F171" s="682"/>
      <c r="G171" s="682"/>
      <c r="H171" s="781"/>
      <c r="I171" s="1024"/>
      <c r="J171" s="1024"/>
      <c r="K171" s="1025"/>
      <c r="L171" s="1025"/>
      <c r="M171" s="1025"/>
      <c r="N171" s="1025"/>
      <c r="O171" s="682"/>
      <c r="P171" s="682"/>
      <c r="Q171" s="682"/>
      <c r="R171" s="682"/>
      <c r="S171" s="682"/>
      <c r="T171" s="682"/>
      <c r="U171" s="682"/>
      <c r="V171" s="682"/>
      <c r="W171" s="682"/>
      <c r="X171" s="682"/>
      <c r="Y171" s="682"/>
      <c r="Z171" s="682"/>
      <c r="AA171" s="682"/>
      <c r="AB171" s="682"/>
      <c r="AC171" s="682"/>
      <c r="AD171" s="682"/>
      <c r="AE171" s="682"/>
      <c r="AF171" s="682"/>
      <c r="AG171" s="682"/>
    </row>
    <row r="172" spans="1:33" s="87" customFormat="1" ht="16.899999999999999" customHeight="1" x14ac:dyDescent="0.2">
      <c r="A172" s="1010" t="s">
        <v>1031</v>
      </c>
      <c r="B172" s="1019"/>
      <c r="C172" s="1019"/>
      <c r="D172" s="1019"/>
      <c r="E172" s="1019"/>
      <c r="F172" s="1016" t="s">
        <v>790</v>
      </c>
      <c r="G172" s="1016" t="s">
        <v>935</v>
      </c>
      <c r="H172" s="781"/>
      <c r="I172" s="1024"/>
      <c r="J172" s="1024"/>
      <c r="K172" s="1025"/>
      <c r="L172" s="1025"/>
      <c r="M172" s="1025"/>
      <c r="N172" s="1025"/>
      <c r="O172" s="682"/>
      <c r="P172" s="682"/>
      <c r="Q172" s="682"/>
      <c r="R172" s="682"/>
      <c r="S172" s="682"/>
      <c r="T172" s="682"/>
      <c r="U172" s="682"/>
      <c r="V172" s="682"/>
      <c r="W172" s="682"/>
      <c r="X172" s="682"/>
      <c r="Y172" s="682"/>
      <c r="Z172" s="682"/>
      <c r="AA172" s="682"/>
      <c r="AB172" s="682"/>
      <c r="AC172" s="682"/>
      <c r="AD172" s="682"/>
      <c r="AE172" s="682"/>
      <c r="AF172" s="682"/>
      <c r="AG172" s="682"/>
    </row>
    <row r="173" spans="1:33" s="87" customFormat="1" ht="16.5" customHeight="1" x14ac:dyDescent="0.2">
      <c r="A173" s="138" t="s">
        <v>1047</v>
      </c>
      <c r="B173" s="1019"/>
      <c r="C173" s="1019"/>
      <c r="D173" s="1019"/>
      <c r="E173" s="1019"/>
      <c r="F173" s="31">
        <v>45</v>
      </c>
      <c r="G173" s="1013">
        <v>39</v>
      </c>
      <c r="H173" s="781"/>
      <c r="I173" s="1024"/>
      <c r="J173" s="1024"/>
      <c r="K173" s="1025"/>
      <c r="L173" s="1025"/>
      <c r="M173" s="1025"/>
      <c r="N173" s="1025"/>
      <c r="O173" s="682"/>
      <c r="P173" s="682"/>
      <c r="Q173" s="682"/>
      <c r="R173" s="682"/>
      <c r="S173" s="682"/>
      <c r="T173" s="682"/>
      <c r="U173" s="682"/>
      <c r="V173" s="682"/>
      <c r="W173" s="682"/>
      <c r="X173" s="682"/>
      <c r="Y173" s="682"/>
      <c r="Z173" s="682"/>
      <c r="AA173" s="682"/>
      <c r="AB173" s="682"/>
      <c r="AC173" s="682"/>
      <c r="AD173" s="682"/>
      <c r="AE173" s="682"/>
      <c r="AF173" s="682"/>
      <c r="AG173" s="682"/>
    </row>
    <row r="174" spans="1:33" s="87" customFormat="1" ht="16.5" customHeight="1" x14ac:dyDescent="0.2">
      <c r="A174" s="138" t="s">
        <v>1044</v>
      </c>
      <c r="B174" s="1019"/>
      <c r="C174" s="1019"/>
      <c r="D174" s="1019"/>
      <c r="E174" s="1019"/>
      <c r="F174" s="31">
        <v>45</v>
      </c>
      <c r="G174" s="1013">
        <v>40</v>
      </c>
      <c r="H174" s="781"/>
      <c r="I174" s="1024"/>
      <c r="J174" s="1024"/>
      <c r="K174" s="1025"/>
      <c r="L174" s="1025"/>
      <c r="M174" s="1025"/>
      <c r="N174" s="1025"/>
      <c r="O174" s="682"/>
      <c r="P174" s="682"/>
      <c r="Q174" s="682"/>
      <c r="R174" s="682"/>
      <c r="S174" s="682"/>
      <c r="T174" s="682"/>
      <c r="U174" s="682"/>
      <c r="V174" s="682"/>
      <c r="W174" s="682"/>
      <c r="X174" s="682"/>
      <c r="Y174" s="682"/>
      <c r="Z174" s="682"/>
      <c r="AA174" s="682"/>
      <c r="AB174" s="682"/>
      <c r="AC174" s="682"/>
      <c r="AD174" s="682"/>
      <c r="AE174" s="682"/>
      <c r="AF174" s="682"/>
      <c r="AG174" s="682"/>
    </row>
    <row r="175" spans="1:33" s="82" customFormat="1" ht="16.5" customHeight="1" x14ac:dyDescent="0.2">
      <c r="A175" s="756" t="s">
        <v>997</v>
      </c>
      <c r="B175" s="1035"/>
      <c r="C175" s="1035"/>
      <c r="D175" s="1035"/>
      <c r="E175" s="1035"/>
      <c r="F175" s="36">
        <v>10</v>
      </c>
      <c r="G175" s="1079">
        <v>10</v>
      </c>
      <c r="H175" s="768"/>
      <c r="I175" s="1072"/>
      <c r="J175" s="1072"/>
      <c r="K175" s="1073"/>
      <c r="L175" s="1073"/>
      <c r="M175" s="1073"/>
      <c r="N175" s="1073"/>
      <c r="O175" s="1169"/>
      <c r="P175" s="1169"/>
      <c r="Q175" s="1169"/>
      <c r="R175" s="1169"/>
      <c r="S175" s="1169"/>
      <c r="T175" s="1169"/>
      <c r="U175" s="1169"/>
      <c r="V175" s="1169"/>
      <c r="W175" s="1169"/>
      <c r="X175" s="1169"/>
      <c r="Y175" s="1169"/>
      <c r="Z175" s="1169"/>
      <c r="AA175" s="1008"/>
      <c r="AB175" s="1008"/>
      <c r="AC175" s="1008"/>
      <c r="AD175" s="1008"/>
      <c r="AE175" s="1008"/>
      <c r="AF175" s="1008"/>
      <c r="AG175" s="1008"/>
    </row>
    <row r="176" spans="1:33" s="198" customFormat="1" ht="16.899999999999999" customHeight="1" thickBot="1" x14ac:dyDescent="0.25">
      <c r="A176" s="169" t="s">
        <v>936</v>
      </c>
      <c r="B176" s="1020"/>
      <c r="C176" s="1020"/>
      <c r="D176" s="1020"/>
      <c r="E176" s="1020"/>
      <c r="F176" s="37">
        <f>SUM(F173:F175)</f>
        <v>100</v>
      </c>
      <c r="G176" s="1080">
        <f>SUM(G173:G175)</f>
        <v>89</v>
      </c>
      <c r="H176" s="727"/>
      <c r="I176" s="1028"/>
      <c r="J176" s="1028"/>
      <c r="K176" s="1029"/>
      <c r="L176" s="1029"/>
      <c r="M176" s="1029"/>
      <c r="N176" s="1029"/>
      <c r="O176" s="687"/>
      <c r="P176" s="687"/>
      <c r="Q176" s="687"/>
      <c r="R176" s="687"/>
      <c r="S176" s="687"/>
      <c r="T176" s="687"/>
      <c r="U176" s="687"/>
      <c r="V176" s="687"/>
      <c r="W176" s="687"/>
      <c r="X176" s="687"/>
      <c r="Y176" s="687"/>
      <c r="Z176" s="687"/>
      <c r="AA176" s="687"/>
      <c r="AB176" s="687"/>
      <c r="AC176" s="687"/>
      <c r="AD176" s="687"/>
      <c r="AE176" s="687"/>
      <c r="AF176" s="687"/>
      <c r="AG176" s="687"/>
    </row>
  </sheetData>
  <phoneticPr fontId="137" type="noConversion"/>
  <pageMargins left="0.7" right="0.7" top="0.75" bottom="0.75" header="0.3" footer="0.3"/>
  <rowBreaks count="4" manualBreakCount="4">
    <brk id="39" max="16383" man="1"/>
    <brk id="71" max="16383" man="1"/>
    <brk id="110" max="16383" man="1"/>
    <brk id="142" max="6" man="1"/>
  </rowBreaks>
  <ignoredErrors>
    <ignoredError sqref="B69 C69:G69" formula="1"/>
    <ignoredError sqref="G32:G35" evalError="1"/>
    <ignoredError sqref="B20 B121:F121" formulaRange="1"/>
  </ignoredErrors>
  <drawing r:id="rId1"/>
  <legacyDrawing r:id="rId2"/>
  <extLst>
    <ext xmlns:mx="http://schemas.microsoft.com/office/mac/excel/2008/main" uri="http://schemas.microsoft.com/office/mac/excel/2008/main">
      <mx:PLV Mode="0" OnePage="0" WScale="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3399"/>
  </sheetPr>
  <dimension ref="A1:AG53"/>
  <sheetViews>
    <sheetView topLeftCell="A22" workbookViewId="0">
      <selection activeCell="A20" sqref="A20"/>
    </sheetView>
  </sheetViews>
  <sheetFormatPr defaultColWidth="9.140625" defaultRowHeight="16.5" customHeight="1" x14ac:dyDescent="0.2"/>
  <cols>
    <col min="1" max="1" width="40.5703125" style="736" customWidth="1"/>
    <col min="2" max="2" width="9.140625" style="736"/>
    <col min="3" max="3" width="10.140625" style="736" customWidth="1"/>
    <col min="4" max="11" width="9.140625" style="736"/>
    <col min="12" max="12" width="8.5703125" style="1210" customWidth="1"/>
    <col min="13" max="13" width="8.140625" style="1210" customWidth="1"/>
    <col min="14" max="14" width="8.85546875" style="1210" customWidth="1"/>
    <col min="15" max="26" width="8.5703125" style="1210" customWidth="1"/>
    <col min="27" max="256" width="8.5703125" style="736" customWidth="1"/>
    <col min="257" max="16384" width="9.140625" style="736"/>
  </cols>
  <sheetData>
    <row r="1" spans="1:26" s="848" customFormat="1" ht="16.5" customHeight="1" x14ac:dyDescent="0.2">
      <c r="B1" s="718" t="s">
        <v>1075</v>
      </c>
      <c r="C1" s="718" t="s">
        <v>1075</v>
      </c>
      <c r="D1" s="718" t="s">
        <v>1075</v>
      </c>
      <c r="E1" s="718" t="s">
        <v>1075</v>
      </c>
      <c r="F1" s="718" t="s">
        <v>1075</v>
      </c>
      <c r="G1" s="718" t="s">
        <v>1075</v>
      </c>
      <c r="H1" s="718" t="s">
        <v>1075</v>
      </c>
      <c r="I1" s="718" t="s">
        <v>1075</v>
      </c>
      <c r="J1" s="718" t="s">
        <v>1075</v>
      </c>
      <c r="K1" s="718" t="s">
        <v>1075</v>
      </c>
      <c r="L1" s="718" t="s">
        <v>1075</v>
      </c>
      <c r="M1" s="718" t="s">
        <v>1075</v>
      </c>
      <c r="N1" s="718" t="s">
        <v>1075</v>
      </c>
      <c r="O1" s="718" t="s">
        <v>1075</v>
      </c>
      <c r="P1" s="718" t="s">
        <v>1075</v>
      </c>
      <c r="Q1" s="718" t="s">
        <v>1075</v>
      </c>
      <c r="R1" s="718" t="s">
        <v>1075</v>
      </c>
      <c r="S1" s="718" t="s">
        <v>1075</v>
      </c>
      <c r="T1" s="718" t="s">
        <v>1075</v>
      </c>
      <c r="U1" s="718" t="s">
        <v>1075</v>
      </c>
      <c r="V1" s="718" t="s">
        <v>1075</v>
      </c>
      <c r="W1" s="718" t="s">
        <v>1075</v>
      </c>
      <c r="X1" s="718" t="s">
        <v>1075</v>
      </c>
      <c r="Y1" s="718" t="s">
        <v>1075</v>
      </c>
      <c r="Z1" s="718" t="s">
        <v>1075</v>
      </c>
    </row>
    <row r="2" spans="1:26" s="712" customFormat="1" ht="16.5" customHeight="1" x14ac:dyDescent="0.2">
      <c r="A2" s="851" t="s">
        <v>525</v>
      </c>
      <c r="L2" s="713"/>
      <c r="M2" s="713"/>
      <c r="N2" s="713"/>
      <c r="O2" s="713"/>
      <c r="P2" s="713"/>
      <c r="Q2" s="713"/>
      <c r="R2" s="713"/>
      <c r="S2" s="713"/>
      <c r="T2" s="713"/>
      <c r="U2" s="713"/>
      <c r="V2" s="713"/>
      <c r="W2" s="713"/>
      <c r="X2" s="713"/>
      <c r="Y2" s="713"/>
      <c r="Z2" s="713"/>
    </row>
    <row r="3" spans="1:26" s="32" customFormat="1" ht="16.5" customHeight="1" x14ac:dyDescent="0.2">
      <c r="A3" s="32" t="s">
        <v>526</v>
      </c>
      <c r="B3" s="583">
        <f>'IS Analysis Adjustments'!AP1+1</f>
        <v>2016</v>
      </c>
      <c r="L3" s="718"/>
      <c r="M3" s="718"/>
      <c r="N3" s="718"/>
      <c r="O3" s="718"/>
      <c r="P3" s="718"/>
      <c r="Q3" s="718"/>
      <c r="R3" s="718"/>
      <c r="S3" s="718"/>
      <c r="T3" s="718"/>
      <c r="U3" s="718"/>
      <c r="V3" s="718"/>
      <c r="W3" s="718"/>
      <c r="X3" s="718"/>
      <c r="Y3" s="718"/>
      <c r="Z3" s="718"/>
    </row>
    <row r="4" spans="1:26" s="32" customFormat="1" ht="16.5" customHeight="1" x14ac:dyDescent="0.2">
      <c r="A4" s="54" t="s">
        <v>241</v>
      </c>
      <c r="L4" s="718"/>
      <c r="M4" s="718"/>
      <c r="N4" s="718"/>
      <c r="O4" s="718"/>
      <c r="P4" s="718"/>
      <c r="Q4" s="718"/>
      <c r="R4" s="718"/>
      <c r="S4" s="718"/>
      <c r="T4" s="718"/>
      <c r="U4" s="718"/>
      <c r="V4" s="718"/>
      <c r="W4" s="718"/>
      <c r="X4" s="718"/>
      <c r="Y4" s="718"/>
      <c r="Z4" s="718"/>
    </row>
    <row r="5" spans="1:26" s="32" customFormat="1" ht="16.5" customHeight="1" x14ac:dyDescent="0.2">
      <c r="L5" s="718"/>
      <c r="M5" s="718"/>
      <c r="N5" s="718"/>
      <c r="O5" s="718"/>
      <c r="P5" s="718"/>
      <c r="Q5" s="718"/>
      <c r="R5" s="718"/>
      <c r="S5" s="718"/>
      <c r="T5" s="718"/>
      <c r="U5" s="718"/>
      <c r="V5" s="718"/>
      <c r="W5" s="718"/>
      <c r="X5" s="718"/>
      <c r="Y5" s="718"/>
      <c r="Z5" s="718"/>
    </row>
    <row r="6" spans="1:26" s="32" customFormat="1" ht="34.5" customHeight="1" x14ac:dyDescent="0.35">
      <c r="A6" s="852" t="s">
        <v>524</v>
      </c>
      <c r="B6" s="853" t="s">
        <v>527</v>
      </c>
      <c r="C6" s="853" t="s">
        <v>528</v>
      </c>
      <c r="D6" s="853" t="s">
        <v>411</v>
      </c>
      <c r="I6" s="853" t="s">
        <v>412</v>
      </c>
      <c r="J6" s="853" t="s">
        <v>417</v>
      </c>
      <c r="K6" s="853" t="s">
        <v>413</v>
      </c>
      <c r="L6" s="718"/>
      <c r="M6" s="718"/>
      <c r="N6" s="718"/>
      <c r="O6" s="718"/>
      <c r="P6" s="718"/>
      <c r="Q6" s="718"/>
      <c r="R6" s="718"/>
      <c r="S6" s="718"/>
      <c r="T6" s="718"/>
      <c r="U6" s="718"/>
      <c r="V6" s="718"/>
      <c r="W6" s="718"/>
      <c r="X6" s="718"/>
      <c r="Y6" s="718"/>
      <c r="Z6" s="718"/>
    </row>
    <row r="7" spans="1:26" s="848" customFormat="1" ht="16.5" customHeight="1" x14ac:dyDescent="0.2">
      <c r="A7" s="849" t="s">
        <v>415</v>
      </c>
      <c r="B7" s="381">
        <f>ROUND(J12*(1+K13),-1)</f>
        <v>15550</v>
      </c>
      <c r="C7" s="850">
        <v>0.2</v>
      </c>
      <c r="D7" s="381">
        <f>ROUND(B7*C7,0)</f>
        <v>3110</v>
      </c>
      <c r="E7" s="32"/>
      <c r="F7" s="32"/>
      <c r="G7" s="32"/>
      <c r="H7" s="32"/>
      <c r="I7" s="855">
        <f>'Common-size FS'!B9</f>
        <v>2010</v>
      </c>
      <c r="J7" s="381">
        <f>'Common-size FS'!B71</f>
        <v>9700</v>
      </c>
      <c r="K7" s="32"/>
      <c r="L7" s="718"/>
      <c r="M7" s="718"/>
      <c r="N7" s="718"/>
      <c r="O7" s="718"/>
      <c r="P7" s="718"/>
      <c r="Q7" s="718"/>
      <c r="R7" s="718"/>
      <c r="S7" s="718"/>
      <c r="T7" s="718"/>
      <c r="U7" s="718"/>
      <c r="V7" s="718"/>
      <c r="W7" s="718"/>
      <c r="X7" s="718"/>
      <c r="Y7" s="718"/>
      <c r="Z7" s="718"/>
    </row>
    <row r="8" spans="1:26" s="848" customFormat="1" ht="16.5" customHeight="1" x14ac:dyDescent="0.2">
      <c r="A8" s="1254" t="s">
        <v>17</v>
      </c>
      <c r="B8" s="849">
        <v>15000</v>
      </c>
      <c r="C8" s="850">
        <v>0.5</v>
      </c>
      <c r="D8" s="32">
        <f>ROUND(B8*C8,0)</f>
        <v>7500</v>
      </c>
      <c r="E8" s="32"/>
      <c r="F8" s="32"/>
      <c r="G8" s="32"/>
      <c r="H8" s="32"/>
      <c r="I8" s="855">
        <f>'Common-size FS'!C9</f>
        <v>2011</v>
      </c>
      <c r="J8" s="32">
        <f>'Common-size FS'!C71</f>
        <v>10877</v>
      </c>
      <c r="K8" s="174">
        <f>J8/J7-1</f>
        <v>0.12134020618556707</v>
      </c>
      <c r="L8" s="718"/>
      <c r="M8" s="718"/>
      <c r="N8" s="718"/>
      <c r="O8" s="718"/>
      <c r="P8" s="718"/>
      <c r="Q8" s="718"/>
      <c r="R8" s="718"/>
      <c r="S8" s="718"/>
      <c r="T8" s="718"/>
      <c r="U8" s="718"/>
      <c r="V8" s="718"/>
      <c r="W8" s="718"/>
      <c r="X8" s="718"/>
      <c r="Y8" s="718"/>
      <c r="Z8" s="718"/>
    </row>
    <row r="9" spans="1:26" s="848" customFormat="1" ht="16.5" customHeight="1" x14ac:dyDescent="0.2">
      <c r="A9" s="1254" t="s">
        <v>18</v>
      </c>
      <c r="B9" s="849">
        <v>14877</v>
      </c>
      <c r="C9" s="850">
        <v>0.3</v>
      </c>
      <c r="D9" s="32">
        <f>ROUND(B9*C9,0)</f>
        <v>4463</v>
      </c>
      <c r="E9" s="32"/>
      <c r="F9" s="32"/>
      <c r="G9" s="32"/>
      <c r="H9" s="32"/>
      <c r="I9" s="855">
        <f>'Common-size FS'!D9</f>
        <v>2012</v>
      </c>
      <c r="J9" s="32">
        <f>'Common-size FS'!D71</f>
        <v>12148</v>
      </c>
      <c r="K9" s="174">
        <f>J9/J8-1</f>
        <v>0.11685207318194357</v>
      </c>
      <c r="L9" s="718"/>
      <c r="M9" s="718"/>
      <c r="N9" s="718"/>
      <c r="O9" s="718"/>
      <c r="P9" s="718"/>
      <c r="Q9" s="718"/>
      <c r="R9" s="718"/>
      <c r="S9" s="718"/>
      <c r="T9" s="718"/>
      <c r="U9" s="718"/>
      <c r="V9" s="718"/>
      <c r="W9" s="718"/>
      <c r="X9" s="718"/>
      <c r="Y9" s="718"/>
      <c r="Z9" s="718"/>
    </row>
    <row r="10" spans="1:26" s="848" customFormat="1" ht="16.5" customHeight="1" x14ac:dyDescent="0.2">
      <c r="A10" s="1254" t="s">
        <v>1085</v>
      </c>
      <c r="B10" s="1254">
        <v>0</v>
      </c>
      <c r="C10" s="1255">
        <v>0</v>
      </c>
      <c r="D10" s="32">
        <f>ROUND(B10*C10,0)</f>
        <v>0</v>
      </c>
      <c r="E10" s="32"/>
      <c r="F10" s="32"/>
      <c r="G10" s="32"/>
      <c r="H10" s="32"/>
      <c r="I10" s="855">
        <f>'Common-size FS'!E9</f>
        <v>2013</v>
      </c>
      <c r="J10" s="32">
        <f>'Common-size FS'!E71</f>
        <v>12540</v>
      </c>
      <c r="K10" s="174">
        <f>J10/J9-1</f>
        <v>3.2268686203490216E-2</v>
      </c>
      <c r="L10" s="718"/>
      <c r="M10" s="718"/>
      <c r="N10" s="718"/>
      <c r="O10" s="718"/>
      <c r="P10" s="718"/>
      <c r="Q10" s="718"/>
      <c r="R10" s="718"/>
      <c r="S10" s="718"/>
      <c r="T10" s="718"/>
      <c r="U10" s="718"/>
      <c r="V10" s="718"/>
      <c r="W10" s="718"/>
      <c r="X10" s="718"/>
      <c r="Y10" s="718"/>
      <c r="Z10" s="718"/>
    </row>
    <row r="11" spans="1:26" s="848" customFormat="1" ht="16.5" customHeight="1" x14ac:dyDescent="0.2">
      <c r="A11" s="1254" t="s">
        <v>1085</v>
      </c>
      <c r="B11" s="1254">
        <v>0</v>
      </c>
      <c r="C11" s="1256">
        <v>0</v>
      </c>
      <c r="D11" s="32">
        <f>ROUND(B11*C11,0)</f>
        <v>0</v>
      </c>
      <c r="E11" s="32"/>
      <c r="F11" s="32"/>
      <c r="G11" s="32"/>
      <c r="H11" s="32"/>
      <c r="I11" s="855">
        <f>'Common-size FS'!F9</f>
        <v>2014</v>
      </c>
      <c r="J11" s="32">
        <f>'Common-size FS'!F71</f>
        <v>13506</v>
      </c>
      <c r="K11" s="174">
        <f>J11/J10-1</f>
        <v>7.7033492822966565E-2</v>
      </c>
      <c r="L11" s="718"/>
      <c r="M11" s="718"/>
      <c r="N11" s="718"/>
      <c r="O11" s="718"/>
      <c r="P11" s="718"/>
      <c r="Q11" s="718"/>
      <c r="R11" s="718"/>
      <c r="S11" s="718"/>
      <c r="T11" s="718"/>
      <c r="U11" s="718"/>
      <c r="V11" s="718"/>
      <c r="W11" s="718"/>
      <c r="X11" s="718"/>
      <c r="Y11" s="718"/>
      <c r="Z11" s="718"/>
    </row>
    <row r="12" spans="1:26" s="848" customFormat="1" ht="16.5" customHeight="1" thickBot="1" x14ac:dyDescent="0.25">
      <c r="C12" s="854">
        <f>SUM(C7:C11)</f>
        <v>1</v>
      </c>
      <c r="D12" s="237">
        <f>ROUND(SUM(D7:D11),-1)</f>
        <v>15070</v>
      </c>
      <c r="E12" s="32"/>
      <c r="F12" s="32"/>
      <c r="G12" s="32"/>
      <c r="H12" s="32"/>
      <c r="I12" s="855">
        <f>'Common-size FS'!G9</f>
        <v>2015</v>
      </c>
      <c r="J12" s="32">
        <f>'Common-size FS'!G71</f>
        <v>14373</v>
      </c>
      <c r="K12" s="174">
        <f>J12/J11-1</f>
        <v>6.4193691692581156E-2</v>
      </c>
      <c r="L12" s="718"/>
      <c r="M12" s="718"/>
      <c r="N12" s="718"/>
      <c r="O12" s="718"/>
      <c r="P12" s="718"/>
      <c r="Q12" s="718"/>
      <c r="R12" s="718"/>
      <c r="S12" s="718"/>
      <c r="T12" s="718"/>
      <c r="U12" s="718"/>
      <c r="V12" s="718"/>
      <c r="W12" s="718"/>
      <c r="X12" s="718"/>
      <c r="Y12" s="718"/>
      <c r="Z12" s="718"/>
    </row>
    <row r="13" spans="1:26" s="848" customFormat="1" ht="16.5" customHeight="1" x14ac:dyDescent="0.2">
      <c r="C13" s="856"/>
      <c r="D13" s="856"/>
      <c r="E13" s="32"/>
      <c r="F13" s="32"/>
      <c r="G13" s="32"/>
      <c r="H13" s="32"/>
      <c r="I13" s="32" t="s">
        <v>414</v>
      </c>
      <c r="J13" s="32"/>
      <c r="K13" s="174">
        <f>(J12/J7)^(1/5)-1</f>
        <v>8.1820329113474477E-2</v>
      </c>
      <c r="L13" s="718"/>
      <c r="M13" s="718"/>
      <c r="N13" s="718"/>
      <c r="O13" s="718"/>
      <c r="P13" s="718"/>
      <c r="Q13" s="718"/>
      <c r="R13" s="718"/>
      <c r="S13" s="718"/>
      <c r="T13" s="718"/>
      <c r="U13" s="718"/>
      <c r="V13" s="718"/>
      <c r="W13" s="718"/>
      <c r="X13" s="718"/>
      <c r="Y13" s="718"/>
      <c r="Z13" s="718"/>
    </row>
    <row r="14" spans="1:26" s="848" customFormat="1" ht="16.5" customHeight="1" x14ac:dyDescent="0.2">
      <c r="L14" s="718"/>
      <c r="M14" s="718"/>
      <c r="N14" s="718"/>
      <c r="O14" s="718"/>
      <c r="P14" s="718"/>
      <c r="Q14" s="718"/>
      <c r="R14" s="718"/>
      <c r="S14" s="718"/>
      <c r="T14" s="718"/>
      <c r="U14" s="718"/>
      <c r="V14" s="718"/>
      <c r="W14" s="718"/>
      <c r="X14" s="718"/>
      <c r="Y14" s="718"/>
      <c r="Z14" s="718"/>
    </row>
    <row r="15" spans="1:26" s="848" customFormat="1" ht="17.45" customHeight="1" x14ac:dyDescent="0.2">
      <c r="A15" s="848" t="s">
        <v>416</v>
      </c>
      <c r="L15" s="718"/>
      <c r="M15" s="718"/>
      <c r="N15" s="718"/>
      <c r="O15" s="718"/>
      <c r="P15" s="718"/>
      <c r="Q15" s="718"/>
      <c r="R15" s="718"/>
      <c r="S15" s="718"/>
      <c r="T15" s="718"/>
      <c r="U15" s="718"/>
      <c r="V15" s="718"/>
      <c r="W15" s="718"/>
      <c r="X15" s="718"/>
      <c r="Y15" s="718"/>
      <c r="Z15" s="718"/>
    </row>
    <row r="16" spans="1:26" ht="16.5" customHeight="1" x14ac:dyDescent="0.2">
      <c r="A16" s="693" t="s">
        <v>1085</v>
      </c>
      <c r="L16" s="1266"/>
      <c r="M16" s="1266"/>
      <c r="N16" s="1266" t="s">
        <v>1085</v>
      </c>
      <c r="O16" s="1266"/>
      <c r="P16" s="1266"/>
    </row>
    <row r="17" spans="1:16" ht="16.5" customHeight="1" x14ac:dyDescent="0.2">
      <c r="A17" s="693"/>
      <c r="L17" s="1266"/>
      <c r="M17" s="1266"/>
      <c r="N17" s="1266"/>
      <c r="O17" s="1266"/>
      <c r="P17" s="1266"/>
    </row>
    <row r="18" spans="1:16" ht="16.5" customHeight="1" x14ac:dyDescent="0.2">
      <c r="A18" s="693"/>
      <c r="L18" s="1266"/>
      <c r="M18" s="1266"/>
      <c r="N18" s="1266"/>
      <c r="O18" s="1266"/>
      <c r="P18" s="1266"/>
    </row>
    <row r="19" spans="1:16" ht="16.5" customHeight="1" x14ac:dyDescent="0.2">
      <c r="A19" s="693"/>
      <c r="L19" s="1266"/>
      <c r="M19" s="1266"/>
      <c r="N19" s="1266"/>
      <c r="O19" s="1266"/>
      <c r="P19" s="1266"/>
    </row>
    <row r="20" spans="1:16" ht="16.5" customHeight="1" x14ac:dyDescent="0.2">
      <c r="A20" s="693"/>
      <c r="L20" s="1266"/>
      <c r="M20" s="1266"/>
      <c r="N20" s="1266"/>
      <c r="O20" s="1266"/>
      <c r="P20" s="1266"/>
    </row>
    <row r="21" spans="1:16" ht="16.5" customHeight="1" x14ac:dyDescent="0.2">
      <c r="A21" s="693"/>
      <c r="L21" s="1266"/>
      <c r="M21" s="1266"/>
      <c r="N21" s="1266"/>
      <c r="O21" s="1266"/>
      <c r="P21" s="1266"/>
    </row>
    <row r="22" spans="1:16" ht="16.5" customHeight="1" x14ac:dyDescent="0.2">
      <c r="A22" s="693"/>
      <c r="L22" s="1266"/>
      <c r="M22" s="1266"/>
      <c r="N22" s="1266"/>
      <c r="O22" s="1266"/>
      <c r="P22" s="1266"/>
    </row>
    <row r="23" spans="1:16" ht="16.5" customHeight="1" x14ac:dyDescent="0.2">
      <c r="A23" s="693"/>
      <c r="L23" s="1266"/>
      <c r="M23" s="1266"/>
      <c r="N23" s="1266"/>
      <c r="O23" s="1266"/>
      <c r="P23" s="1266"/>
    </row>
    <row r="24" spans="1:16" ht="16.5" customHeight="1" x14ac:dyDescent="0.2">
      <c r="A24" s="693"/>
      <c r="L24" s="1266"/>
      <c r="M24" s="1266"/>
      <c r="N24" s="1266"/>
      <c r="O24" s="1266"/>
      <c r="P24" s="1266"/>
    </row>
    <row r="25" spans="1:16" ht="16.5" customHeight="1" x14ac:dyDescent="0.2">
      <c r="A25" s="693"/>
      <c r="L25" s="1266"/>
      <c r="M25" s="1266"/>
      <c r="N25" s="1266"/>
      <c r="O25" s="1266"/>
      <c r="P25" s="1266"/>
    </row>
    <row r="26" spans="1:16" ht="16.5" customHeight="1" x14ac:dyDescent="0.2">
      <c r="A26" s="693"/>
      <c r="L26" s="1266"/>
      <c r="M26" s="1266"/>
      <c r="N26" s="1266"/>
      <c r="O26" s="1266"/>
      <c r="P26" s="1266"/>
    </row>
    <row r="27" spans="1:16" ht="16.5" customHeight="1" x14ac:dyDescent="0.2">
      <c r="A27" s="693"/>
      <c r="L27" s="1266"/>
      <c r="M27" s="1266"/>
      <c r="N27" s="1266"/>
      <c r="O27" s="1266"/>
      <c r="P27" s="1266"/>
    </row>
    <row r="28" spans="1:16" ht="16.5" customHeight="1" x14ac:dyDescent="0.2">
      <c r="A28" s="693"/>
      <c r="L28" s="1266"/>
      <c r="M28" s="1266"/>
      <c r="N28" s="1266"/>
      <c r="O28" s="1266"/>
      <c r="P28" s="1266"/>
    </row>
    <row r="29" spans="1:16" ht="16.5" customHeight="1" x14ac:dyDescent="0.2">
      <c r="A29" s="693"/>
      <c r="L29" s="1266"/>
      <c r="M29" s="1266"/>
      <c r="N29" s="1266"/>
      <c r="O29" s="1266"/>
      <c r="P29" s="1266"/>
    </row>
    <row r="30" spans="1:16" ht="16.5" customHeight="1" x14ac:dyDescent="0.2">
      <c r="A30" s="693"/>
      <c r="L30" s="1266"/>
      <c r="M30" s="1266"/>
      <c r="N30" s="1266"/>
      <c r="O30" s="1266"/>
      <c r="P30" s="1266"/>
    </row>
    <row r="31" spans="1:16" ht="16.5" customHeight="1" x14ac:dyDescent="0.2">
      <c r="A31" s="693"/>
      <c r="L31" s="1266"/>
      <c r="M31" s="1266"/>
      <c r="N31" s="1266"/>
      <c r="O31" s="1266"/>
      <c r="P31" s="1266"/>
    </row>
    <row r="32" spans="1:16" ht="16.5" customHeight="1" x14ac:dyDescent="0.2">
      <c r="A32" s="693"/>
      <c r="L32" s="1266"/>
      <c r="M32" s="1266"/>
      <c r="N32" s="1266"/>
      <c r="O32" s="1266"/>
      <c r="P32" s="1266"/>
    </row>
    <row r="33" spans="1:16" ht="16.5" customHeight="1" x14ac:dyDescent="0.2">
      <c r="A33" s="693"/>
      <c r="L33" s="1266"/>
      <c r="M33" s="1266"/>
      <c r="N33" s="1266"/>
      <c r="O33" s="1266"/>
      <c r="P33" s="1266"/>
    </row>
    <row r="34" spans="1:16" ht="16.5" customHeight="1" x14ac:dyDescent="0.2">
      <c r="A34" s="693"/>
      <c r="L34" s="1266"/>
      <c r="M34" s="1266"/>
      <c r="N34" s="1266"/>
      <c r="O34" s="1266"/>
      <c r="P34" s="1266"/>
    </row>
    <row r="35" spans="1:16" ht="16.5" customHeight="1" x14ac:dyDescent="0.2">
      <c r="A35" s="693"/>
      <c r="L35" s="1266"/>
      <c r="M35" s="1266"/>
      <c r="N35" s="1266"/>
      <c r="O35" s="1266"/>
      <c r="P35" s="1266"/>
    </row>
    <row r="36" spans="1:16" ht="16.5" customHeight="1" x14ac:dyDescent="0.2">
      <c r="A36" s="693"/>
      <c r="L36" s="1266"/>
      <c r="M36" s="1266"/>
      <c r="N36" s="1266"/>
      <c r="O36" s="1266"/>
      <c r="P36" s="1266"/>
    </row>
    <row r="37" spans="1:16" ht="16.5" customHeight="1" x14ac:dyDescent="0.2">
      <c r="L37" s="1266"/>
      <c r="M37" s="1266"/>
      <c r="N37" s="1266"/>
      <c r="O37" s="1266"/>
      <c r="P37" s="1266"/>
    </row>
    <row r="38" spans="1:16" ht="16.5" customHeight="1" x14ac:dyDescent="0.2">
      <c r="L38" s="1266"/>
      <c r="M38" s="1266"/>
      <c r="N38" s="1266"/>
      <c r="O38" s="1266"/>
      <c r="P38" s="1266"/>
    </row>
    <row r="39" spans="1:16" ht="16.5" customHeight="1" x14ac:dyDescent="0.2">
      <c r="B39" s="1262"/>
      <c r="C39" s="1260"/>
      <c r="D39" s="1262"/>
      <c r="E39" s="1260"/>
      <c r="F39" s="1262"/>
      <c r="G39" s="1261"/>
      <c r="H39" s="1262"/>
      <c r="I39" s="1260"/>
      <c r="J39" s="1262"/>
      <c r="K39" s="1260"/>
      <c r="L39" s="1267"/>
      <c r="M39" s="1268"/>
      <c r="N39" s="1267"/>
      <c r="O39" s="1268"/>
      <c r="P39" s="1266"/>
    </row>
    <row r="40" spans="1:16" ht="16.5" customHeight="1" x14ac:dyDescent="0.2">
      <c r="C40" s="1260"/>
      <c r="E40" s="1260"/>
      <c r="G40" s="1261"/>
      <c r="I40" s="1260"/>
      <c r="K40" s="1260"/>
      <c r="L40" s="1266"/>
      <c r="M40" s="1268"/>
      <c r="N40" s="1267"/>
      <c r="O40" s="1268"/>
      <c r="P40" s="1266"/>
    </row>
    <row r="41" spans="1:16" ht="16.5" customHeight="1" x14ac:dyDescent="0.2">
      <c r="A41" s="693" t="s">
        <v>1085</v>
      </c>
      <c r="C41" s="1260"/>
      <c r="E41" s="1260"/>
      <c r="G41" s="1261"/>
      <c r="I41" s="1260"/>
      <c r="K41" s="1260"/>
      <c r="L41" s="1266"/>
      <c r="M41" s="1268"/>
      <c r="N41" s="1267"/>
      <c r="O41" s="1268"/>
      <c r="P41" s="1266"/>
    </row>
    <row r="42" spans="1:16" ht="16.5" customHeight="1" x14ac:dyDescent="0.2">
      <c r="C42" s="1260"/>
      <c r="E42" s="1260"/>
      <c r="G42" s="1261"/>
      <c r="I42" s="1260"/>
      <c r="K42" s="1260"/>
      <c r="L42" s="1266"/>
      <c r="M42" s="1268"/>
      <c r="N42" s="1267"/>
      <c r="O42" s="1268"/>
      <c r="P42" s="1266"/>
    </row>
    <row r="43" spans="1:16" ht="16.5" customHeight="1" x14ac:dyDescent="0.2">
      <c r="B43" s="1263"/>
      <c r="C43" s="1264"/>
      <c r="D43" s="1263"/>
      <c r="E43" s="1265"/>
      <c r="F43" s="1263"/>
      <c r="G43" s="1265"/>
      <c r="H43" s="1263"/>
      <c r="I43" s="1265"/>
      <c r="J43" s="1263"/>
      <c r="K43" s="1265"/>
      <c r="L43" s="1269"/>
      <c r="M43" s="1270"/>
      <c r="N43" s="1269"/>
      <c r="O43" s="1270"/>
      <c r="P43" s="1266"/>
    </row>
    <row r="49" spans="1:33" s="87" customFormat="1" ht="16.899999999999999" customHeight="1" x14ac:dyDescent="0.2">
      <c r="A49" s="1038" t="s">
        <v>1048</v>
      </c>
      <c r="B49" s="791"/>
      <c r="C49" s="791"/>
      <c r="D49" s="1019"/>
      <c r="E49" s="1019"/>
      <c r="F49" s="682"/>
      <c r="G49" s="682"/>
      <c r="H49" s="781"/>
      <c r="I49" s="1024"/>
      <c r="J49" s="1024"/>
      <c r="K49" s="1025"/>
      <c r="L49" s="1025"/>
      <c r="M49" s="1025"/>
      <c r="N49" s="1025"/>
      <c r="O49" s="682"/>
      <c r="P49" s="682"/>
      <c r="Q49" s="682"/>
      <c r="R49" s="682"/>
      <c r="S49" s="682"/>
      <c r="T49" s="682"/>
      <c r="U49" s="682"/>
      <c r="V49" s="682"/>
      <c r="W49" s="682"/>
      <c r="X49" s="682"/>
      <c r="Y49" s="682"/>
      <c r="Z49" s="682"/>
      <c r="AA49" s="682"/>
      <c r="AB49" s="682"/>
      <c r="AC49" s="682"/>
      <c r="AD49" s="682"/>
      <c r="AE49" s="682"/>
      <c r="AF49" s="682"/>
      <c r="AG49" s="682"/>
    </row>
    <row r="50" spans="1:33" s="87" customFormat="1" ht="16.899999999999999" customHeight="1" x14ac:dyDescent="0.2">
      <c r="A50" s="1010" t="s">
        <v>1031</v>
      </c>
      <c r="B50" s="1019"/>
      <c r="C50" s="1019"/>
      <c r="D50" s="1019"/>
      <c r="E50" s="1019"/>
      <c r="F50" s="1016" t="s">
        <v>790</v>
      </c>
      <c r="G50" s="1016" t="s">
        <v>935</v>
      </c>
      <c r="H50" s="781"/>
      <c r="I50" s="1024"/>
      <c r="J50" s="1024"/>
      <c r="K50" s="1025"/>
      <c r="L50" s="1025"/>
      <c r="M50" s="1025"/>
      <c r="N50" s="1025"/>
      <c r="O50" s="682"/>
      <c r="P50" s="682"/>
      <c r="Q50" s="682"/>
      <c r="R50" s="682"/>
      <c r="S50" s="682"/>
      <c r="T50" s="682"/>
      <c r="U50" s="682"/>
      <c r="V50" s="682"/>
      <c r="W50" s="682"/>
      <c r="X50" s="682"/>
      <c r="Y50" s="682"/>
      <c r="Z50" s="682"/>
      <c r="AA50" s="682"/>
      <c r="AB50" s="682"/>
      <c r="AC50" s="682"/>
      <c r="AD50" s="682"/>
      <c r="AE50" s="682"/>
      <c r="AF50" s="682"/>
      <c r="AG50" s="682"/>
    </row>
    <row r="51" spans="1:33" s="87" customFormat="1" ht="16.5" customHeight="1" x14ac:dyDescent="0.2">
      <c r="A51" s="138" t="s">
        <v>1049</v>
      </c>
      <c r="B51" s="1019"/>
      <c r="C51" s="1019"/>
      <c r="D51" s="1019"/>
      <c r="E51" s="1019"/>
      <c r="F51" s="31">
        <v>20</v>
      </c>
      <c r="G51" s="1013">
        <v>20</v>
      </c>
      <c r="H51" s="781"/>
      <c r="I51" s="1024"/>
      <c r="J51" s="1024"/>
      <c r="K51" s="1025"/>
      <c r="L51" s="1025"/>
      <c r="M51" s="1025"/>
      <c r="N51" s="1025"/>
      <c r="O51" s="682"/>
      <c r="P51" s="682"/>
      <c r="Q51" s="682"/>
      <c r="R51" s="682"/>
      <c r="S51" s="682"/>
      <c r="T51" s="682"/>
      <c r="U51" s="682"/>
      <c r="V51" s="682"/>
      <c r="W51" s="682"/>
      <c r="X51" s="682"/>
      <c r="Y51" s="682"/>
      <c r="Z51" s="682"/>
      <c r="AA51" s="682"/>
      <c r="AB51" s="682"/>
      <c r="AC51" s="682"/>
      <c r="AD51" s="682"/>
      <c r="AE51" s="682"/>
      <c r="AF51" s="682"/>
      <c r="AG51" s="682"/>
    </row>
    <row r="52" spans="1:33" s="87" customFormat="1" ht="16.5" customHeight="1" x14ac:dyDescent="0.2">
      <c r="A52" s="138" t="s">
        <v>1050</v>
      </c>
      <c r="B52" s="1019"/>
      <c r="C52" s="1019"/>
      <c r="D52" s="1019"/>
      <c r="E52" s="1019"/>
      <c r="F52" s="31">
        <v>80</v>
      </c>
      <c r="G52" s="1013">
        <v>69</v>
      </c>
      <c r="H52" s="781"/>
      <c r="I52" s="1024"/>
      <c r="J52" s="1024"/>
      <c r="K52" s="1025"/>
      <c r="L52" s="1025"/>
      <c r="M52" s="1025"/>
      <c r="N52" s="1025"/>
      <c r="O52" s="682"/>
      <c r="P52" s="682"/>
      <c r="Q52" s="682"/>
      <c r="R52" s="682"/>
      <c r="S52" s="682"/>
      <c r="T52" s="682"/>
      <c r="U52" s="682"/>
      <c r="V52" s="682"/>
      <c r="W52" s="682"/>
      <c r="X52" s="682"/>
      <c r="Y52" s="682"/>
      <c r="Z52" s="682"/>
      <c r="AA52" s="682"/>
      <c r="AB52" s="682"/>
      <c r="AC52" s="682"/>
      <c r="AD52" s="682"/>
      <c r="AE52" s="682"/>
      <c r="AF52" s="682"/>
      <c r="AG52" s="682"/>
    </row>
    <row r="53" spans="1:33" s="198" customFormat="1" ht="16.899999999999999" customHeight="1" thickBot="1" x14ac:dyDescent="0.25">
      <c r="A53" s="169" t="s">
        <v>936</v>
      </c>
      <c r="B53" s="1020"/>
      <c r="C53" s="1020"/>
      <c r="D53" s="1020"/>
      <c r="E53" s="1020"/>
      <c r="F53" s="37">
        <f>SUM(F51:F52)</f>
        <v>100</v>
      </c>
      <c r="G53" s="1080">
        <f>SUM(G51:G52)</f>
        <v>89</v>
      </c>
      <c r="H53" s="727"/>
      <c r="I53" s="1028"/>
      <c r="J53" s="1028"/>
      <c r="K53" s="1029"/>
      <c r="L53" s="1029"/>
      <c r="M53" s="1029"/>
      <c r="N53" s="1029"/>
      <c r="O53" s="687"/>
      <c r="P53" s="687"/>
      <c r="Q53" s="687"/>
      <c r="R53" s="687"/>
      <c r="S53" s="687"/>
      <c r="T53" s="687"/>
      <c r="U53" s="687"/>
      <c r="V53" s="687"/>
      <c r="W53" s="687"/>
      <c r="X53" s="687"/>
      <c r="Y53" s="687"/>
      <c r="Z53" s="687"/>
      <c r="AA53" s="687"/>
      <c r="AB53" s="687"/>
      <c r="AC53" s="687"/>
      <c r="AD53" s="687"/>
      <c r="AE53" s="687"/>
      <c r="AF53" s="687"/>
      <c r="AG53" s="687"/>
    </row>
  </sheetData>
  <phoneticPr fontId="137" type="noConversion"/>
  <pageMargins left="0.7" right="0.7" top="0.75" bottom="0.75" header="0.3" footer="0.3"/>
  <drawing r:id="rId1"/>
  <legacyDrawing r:id="rId2"/>
  <extLst>
    <ext xmlns:mx="http://schemas.microsoft.com/office/mac/excel/2008/main" uri="http://schemas.microsoft.com/office/mac/excel/2008/main">
      <mx:PLV Mode="0" OnePage="0" WScale="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Z242"/>
  <sheetViews>
    <sheetView zoomScaleSheetLayoutView="100" workbookViewId="0">
      <selection activeCell="I16" sqref="I16"/>
    </sheetView>
  </sheetViews>
  <sheetFormatPr defaultColWidth="9.140625" defaultRowHeight="16.5" customHeight="1" x14ac:dyDescent="0.2"/>
  <cols>
    <col min="1" max="1" width="44" style="173" customWidth="1"/>
    <col min="2" max="2" width="7.42578125" style="173" customWidth="1"/>
    <col min="3" max="7" width="7.42578125" style="147" customWidth="1"/>
    <col min="8" max="8" width="8.5703125" style="10" bestFit="1" customWidth="1"/>
    <col min="9" max="9" width="7.42578125" style="51" customWidth="1"/>
    <col min="10" max="12" width="7.42578125" style="10" customWidth="1"/>
    <col min="13" max="13" width="7.42578125" style="31" bestFit="1" customWidth="1"/>
    <col min="14" max="15" width="8.5703125" style="87" customWidth="1"/>
    <col min="16" max="16" width="8.5703125" style="682" customWidth="1"/>
    <col min="17" max="17" width="8.5703125" style="718" customWidth="1"/>
    <col min="18" max="256" width="8.5703125" style="682" customWidth="1"/>
    <col min="257" max="16384" width="9.140625" style="682"/>
  </cols>
  <sheetData>
    <row r="1" spans="1:26" s="1169" customFormat="1" ht="16.5" customHeight="1" x14ac:dyDescent="0.2">
      <c r="A1" s="1169" t="s">
        <v>1075</v>
      </c>
      <c r="B1" s="1169" t="s">
        <v>1075</v>
      </c>
      <c r="C1" s="1169" t="s">
        <v>1075</v>
      </c>
      <c r="D1" s="1169" t="s">
        <v>1075</v>
      </c>
      <c r="E1" s="1169" t="s">
        <v>1075</v>
      </c>
      <c r="F1" s="1169" t="s">
        <v>1075</v>
      </c>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1169" customFormat="1" ht="16.5" customHeight="1" x14ac:dyDescent="0.2">
      <c r="A2" s="1035"/>
      <c r="B2" s="1035"/>
      <c r="I2" s="1171"/>
      <c r="Q2" s="677"/>
    </row>
    <row r="3" spans="1:26" s="1169" customFormat="1" ht="16.5" customHeight="1" x14ac:dyDescent="0.2">
      <c r="A3" s="1035"/>
      <c r="B3" s="1035"/>
      <c r="I3" s="1171"/>
      <c r="Q3" s="677"/>
    </row>
    <row r="4" spans="1:26" s="777" customFormat="1" ht="16.5" customHeight="1" x14ac:dyDescent="0.2">
      <c r="A4" s="703" t="s">
        <v>365</v>
      </c>
      <c r="I4" s="1174"/>
    </row>
    <row r="5" spans="1:26" s="777" customFormat="1" ht="16.5" customHeight="1" x14ac:dyDescent="0.2">
      <c r="A5" s="703" t="s">
        <v>366</v>
      </c>
      <c r="I5" s="1174"/>
    </row>
    <row r="6" spans="1:26" s="1169" customFormat="1" ht="16.5" customHeight="1" x14ac:dyDescent="0.2">
      <c r="A6" s="1035"/>
      <c r="I6" s="793"/>
      <c r="Q6" s="677"/>
    </row>
    <row r="7" spans="1:26" s="1169" customFormat="1" ht="16.5" customHeight="1" x14ac:dyDescent="0.2">
      <c r="A7" s="1035"/>
      <c r="I7" s="793"/>
      <c r="Q7" s="677"/>
    </row>
    <row r="8" spans="1:26" s="1169" customFormat="1" ht="16.5" customHeight="1" x14ac:dyDescent="0.2">
      <c r="A8" s="1172"/>
      <c r="Q8" s="677"/>
    </row>
    <row r="9" spans="1:26" s="1169" customFormat="1" ht="16.5" customHeight="1" x14ac:dyDescent="0.2">
      <c r="A9" s="1172"/>
      <c r="B9" s="931"/>
      <c r="Q9" s="677"/>
    </row>
    <row r="10" spans="1:26" s="1169" customFormat="1" ht="16.5" customHeight="1" x14ac:dyDescent="0.2">
      <c r="A10" s="931"/>
      <c r="B10" s="931"/>
      <c r="H10" s="1173"/>
      <c r="Q10" s="677"/>
    </row>
    <row r="11" spans="1:26" s="1211" customFormat="1" ht="16.5" customHeight="1" x14ac:dyDescent="0.2">
      <c r="A11" s="131" t="s">
        <v>178</v>
      </c>
      <c r="B11" s="1117" t="s">
        <v>179</v>
      </c>
      <c r="C11" s="132" t="s">
        <v>180</v>
      </c>
      <c r="D11" s="132"/>
      <c r="E11" s="132"/>
      <c r="F11" s="132"/>
      <c r="G11" s="132"/>
      <c r="H11" s="133" t="s">
        <v>181</v>
      </c>
      <c r="I11" s="134"/>
      <c r="J11" s="133"/>
      <c r="K11" s="133"/>
      <c r="L11" s="134"/>
      <c r="M11" s="135"/>
      <c r="N11" s="1035"/>
      <c r="O11" s="1035"/>
      <c r="P11" s="1194"/>
      <c r="Q11" s="1194"/>
      <c r="R11" s="1035"/>
      <c r="S11" s="1035"/>
      <c r="T11" s="1035"/>
      <c r="U11" s="1035"/>
      <c r="V11" s="1035"/>
      <c r="W11" s="1035"/>
      <c r="X11" s="1035"/>
      <c r="Y11" s="1035"/>
      <c r="Z11" s="1035"/>
    </row>
    <row r="12" spans="1:26" s="1212" customFormat="1" ht="16.5" customHeight="1" x14ac:dyDescent="0.2">
      <c r="A12" s="136" t="s">
        <v>182</v>
      </c>
      <c r="B12" s="1118">
        <f>'IS Analysis Adjustments'!B1-1</f>
        <v>2010</v>
      </c>
      <c r="C12" s="429">
        <f>'IS Analysis Adjustments'!B1</f>
        <v>2011</v>
      </c>
      <c r="D12" s="429">
        <f>C12+1</f>
        <v>2012</v>
      </c>
      <c r="E12" s="429">
        <f t="shared" ref="E12:L12" si="0">D12+1</f>
        <v>2013</v>
      </c>
      <c r="F12" s="429">
        <f t="shared" si="0"/>
        <v>2014</v>
      </c>
      <c r="G12" s="429">
        <f t="shared" si="0"/>
        <v>2015</v>
      </c>
      <c r="H12" s="429">
        <f t="shared" si="0"/>
        <v>2016</v>
      </c>
      <c r="I12" s="429">
        <f t="shared" si="0"/>
        <v>2017</v>
      </c>
      <c r="J12" s="429">
        <f t="shared" si="0"/>
        <v>2018</v>
      </c>
      <c r="K12" s="429">
        <f t="shared" si="0"/>
        <v>2019</v>
      </c>
      <c r="L12" s="429">
        <f t="shared" si="0"/>
        <v>2020</v>
      </c>
      <c r="M12" s="137" t="s">
        <v>100</v>
      </c>
      <c r="N12" s="136" t="s">
        <v>183</v>
      </c>
      <c r="O12" s="1211"/>
      <c r="P12" s="1194"/>
      <c r="Q12" s="1194"/>
      <c r="R12" s="1035"/>
      <c r="S12" s="1035"/>
      <c r="T12" s="1035"/>
      <c r="U12" s="1035"/>
      <c r="V12" s="1035"/>
      <c r="W12" s="1035"/>
      <c r="X12" s="1035"/>
      <c r="Y12" s="1035"/>
      <c r="Z12" s="1035"/>
    </row>
    <row r="13" spans="1:26" s="1176" customFormat="1" ht="16.5" customHeight="1" x14ac:dyDescent="0.2">
      <c r="A13" s="138" t="s">
        <v>184</v>
      </c>
      <c r="B13" s="139" t="s">
        <v>47</v>
      </c>
      <c r="C13" s="140">
        <f>C20/B20-1</f>
        <v>0.12134020618556707</v>
      </c>
      <c r="D13" s="140">
        <f>D20/C20-1</f>
        <v>0.11685207318194357</v>
      </c>
      <c r="E13" s="140">
        <f>E20/D20-1</f>
        <v>3.2268686203490216E-2</v>
      </c>
      <c r="F13" s="140">
        <f>F20/E20-1</f>
        <v>7.7033492822966565E-2</v>
      </c>
      <c r="G13" s="140">
        <f>G20/F20-1</f>
        <v>6.4193691692581156E-2</v>
      </c>
      <c r="H13" s="174">
        <f>'Projected FS'!G11</f>
        <v>4.8493703471787386E-2</v>
      </c>
      <c r="I13" s="696">
        <v>4.4999999999999998E-2</v>
      </c>
      <c r="J13" s="696">
        <v>4.4999999999999998E-2</v>
      </c>
      <c r="K13" s="696">
        <v>4.4999999999999998E-2</v>
      </c>
      <c r="L13" s="696">
        <v>4.4999999999999998E-2</v>
      </c>
      <c r="M13" s="696">
        <v>0.03</v>
      </c>
      <c r="N13" s="141">
        <f>(G20/B20)^(1/5)-1</f>
        <v>8.1820329113474477E-2</v>
      </c>
      <c r="O13" s="141" t="s">
        <v>185</v>
      </c>
      <c r="P13" s="1175"/>
      <c r="Q13" s="1175"/>
    </row>
    <row r="14" spans="1:26" s="1176" customFormat="1" ht="16.5" customHeight="1" x14ac:dyDescent="0.2">
      <c r="A14" s="138" t="s">
        <v>186</v>
      </c>
      <c r="B14" s="140">
        <f t="shared" ref="B14:G15" si="1">B21/B20</f>
        <v>0.10216494845360825</v>
      </c>
      <c r="C14" s="140">
        <f t="shared" si="1"/>
        <v>0.10085501516962397</v>
      </c>
      <c r="D14" s="140">
        <f t="shared" si="1"/>
        <v>9.0961475139940726E-2</v>
      </c>
      <c r="E14" s="140">
        <f t="shared" si="1"/>
        <v>8.8118022328548651E-2</v>
      </c>
      <c r="F14" s="140">
        <f t="shared" si="1"/>
        <v>7.7743225233229671E-2</v>
      </c>
      <c r="G14" s="140">
        <f t="shared" si="1"/>
        <v>5.2181173032769777E-2</v>
      </c>
      <c r="H14" s="174">
        <f>'Projected FS'!G37</f>
        <v>5.5739880557398806E-2</v>
      </c>
      <c r="I14" s="696">
        <v>0.06</v>
      </c>
      <c r="J14" s="696">
        <f>I14</f>
        <v>0.06</v>
      </c>
      <c r="K14" s="696">
        <f>J14</f>
        <v>0.06</v>
      </c>
      <c r="L14" s="696">
        <f>K14</f>
        <v>0.06</v>
      </c>
      <c r="M14" s="696">
        <f>L14</f>
        <v>0.06</v>
      </c>
      <c r="N14" s="141">
        <f>AVERAGE(B14:G14)</f>
        <v>8.5337309892953517E-2</v>
      </c>
      <c r="O14" s="141" t="s">
        <v>187</v>
      </c>
      <c r="P14" s="1175"/>
      <c r="Q14" s="1175"/>
    </row>
    <row r="15" spans="1:26" s="1176" customFormat="1" ht="16.5" customHeight="1" x14ac:dyDescent="0.2">
      <c r="A15" s="138" t="s">
        <v>188</v>
      </c>
      <c r="B15" s="142">
        <f t="shared" si="1"/>
        <v>0.38143289606458125</v>
      </c>
      <c r="C15" s="142">
        <f t="shared" si="1"/>
        <v>0.3892433910665451</v>
      </c>
      <c r="D15" s="142">
        <f t="shared" si="1"/>
        <v>0.37918552036199094</v>
      </c>
      <c r="E15" s="142">
        <f t="shared" si="1"/>
        <v>0.38280542986425337</v>
      </c>
      <c r="F15" s="142">
        <f t="shared" si="1"/>
        <v>0.39238095238095239</v>
      </c>
      <c r="G15" s="142">
        <f t="shared" si="1"/>
        <v>0.38533333333333336</v>
      </c>
      <c r="H15" s="174">
        <f>'Estimate L-R Avg Tax Rate'!H20</f>
        <v>0.38052313571138119</v>
      </c>
      <c r="I15" s="174">
        <f>H15</f>
        <v>0.38052313571138119</v>
      </c>
      <c r="J15" s="174">
        <f>H15</f>
        <v>0.38052313571138119</v>
      </c>
      <c r="K15" s="174">
        <f>H15</f>
        <v>0.38052313571138119</v>
      </c>
      <c r="L15" s="174">
        <f>H15</f>
        <v>0.38052313571138119</v>
      </c>
      <c r="M15" s="174">
        <f>H15</f>
        <v>0.38052313571138119</v>
      </c>
      <c r="N15" s="141">
        <f>AVERAGE(B15:G15)</f>
        <v>0.38506358717860945</v>
      </c>
      <c r="O15" s="141" t="s">
        <v>189</v>
      </c>
      <c r="P15" s="1175"/>
      <c r="Q15" s="1175"/>
    </row>
    <row r="16" spans="1:26" s="1178" customFormat="1" ht="16.5" customHeight="1" x14ac:dyDescent="0.2">
      <c r="A16" s="138" t="s">
        <v>190</v>
      </c>
      <c r="B16" s="143" t="s">
        <v>47</v>
      </c>
      <c r="C16" s="144">
        <f t="shared" ref="C16:H16" si="2">C20/AVERAGE(B28:C28)</f>
        <v>2.0306359622511181</v>
      </c>
      <c r="D16" s="144">
        <f t="shared" si="2"/>
        <v>2.0739223218096456</v>
      </c>
      <c r="E16" s="144">
        <f t="shared" si="2"/>
        <v>2.0154291224686598</v>
      </c>
      <c r="F16" s="144">
        <f t="shared" si="2"/>
        <v>1.9243428082923701</v>
      </c>
      <c r="G16" s="144">
        <f t="shared" si="2"/>
        <v>2.1641195513061806</v>
      </c>
      <c r="H16" s="144">
        <f t="shared" si="2"/>
        <v>2.5188032759485206</v>
      </c>
      <c r="I16" s="698">
        <v>2.25</v>
      </c>
      <c r="J16" s="698">
        <f t="shared" ref="J16:M17" si="3">I16</f>
        <v>2.25</v>
      </c>
      <c r="K16" s="698">
        <f t="shared" si="3"/>
        <v>2.25</v>
      </c>
      <c r="L16" s="698">
        <f t="shared" si="3"/>
        <v>2.25</v>
      </c>
      <c r="M16" s="698">
        <f t="shared" si="3"/>
        <v>2.25</v>
      </c>
      <c r="N16" s="146">
        <f>AVERAGE(B16:G16)</f>
        <v>2.0416899532255952</v>
      </c>
      <c r="O16" s="146" t="s">
        <v>191</v>
      </c>
      <c r="P16" s="1177"/>
      <c r="Q16" s="1177"/>
    </row>
    <row r="17" spans="1:26" s="1178" customFormat="1" ht="16.5" customHeight="1" x14ac:dyDescent="0.2">
      <c r="A17" s="138" t="s">
        <v>763</v>
      </c>
      <c r="B17" s="143" t="s">
        <v>47</v>
      </c>
      <c r="C17" s="144">
        <f t="shared" ref="C17:H17" si="4">AVERAGE(B28:C28)/AVERAGE(B30:C30)</f>
        <v>2.6937138546643196</v>
      </c>
      <c r="D17" s="144">
        <f t="shared" si="4"/>
        <v>3.0279141897131043</v>
      </c>
      <c r="E17" s="144">
        <f t="shared" si="4"/>
        <v>3.1164537941397445</v>
      </c>
      <c r="F17" s="144">
        <f t="shared" si="4"/>
        <v>3.1055309734513274</v>
      </c>
      <c r="G17" s="144">
        <f t="shared" si="4"/>
        <v>4.0117789187556632</v>
      </c>
      <c r="H17" s="144">
        <f t="shared" si="4"/>
        <v>6.0100452034153689</v>
      </c>
      <c r="I17" s="698">
        <v>5.5</v>
      </c>
      <c r="J17" s="698">
        <f t="shared" si="3"/>
        <v>5.5</v>
      </c>
      <c r="K17" s="698">
        <f t="shared" si="3"/>
        <v>5.5</v>
      </c>
      <c r="L17" s="698">
        <f t="shared" si="3"/>
        <v>5.5</v>
      </c>
      <c r="M17" s="698">
        <f t="shared" si="3"/>
        <v>5.5</v>
      </c>
      <c r="N17" s="146">
        <f>AVERAGE(B17:G17)</f>
        <v>3.191078346144832</v>
      </c>
      <c r="O17" s="146" t="s">
        <v>192</v>
      </c>
      <c r="P17" s="1177"/>
      <c r="Q17" s="1177"/>
    </row>
    <row r="18" spans="1:26" s="1176" customFormat="1" ht="16.5" customHeight="1" x14ac:dyDescent="0.2">
      <c r="A18" s="138" t="s">
        <v>193</v>
      </c>
      <c r="B18" s="1379" t="s">
        <v>227</v>
      </c>
      <c r="C18" s="1380"/>
      <c r="D18" s="1380"/>
      <c r="E18" s="1380"/>
      <c r="F18" s="697">
        <v>0.89</v>
      </c>
      <c r="G18" s="1189"/>
      <c r="H18" s="174">
        <f>0.045+F18*(0.1125-0.045)</f>
        <v>0.105075</v>
      </c>
      <c r="I18" s="1353"/>
      <c r="J18" s="1353"/>
      <c r="K18" s="1353"/>
      <c r="L18" s="1353"/>
      <c r="M18" s="1353"/>
      <c r="P18" s="1175"/>
      <c r="Q18" s="1175"/>
    </row>
    <row r="19" spans="1:26" s="1169" customFormat="1" ht="6" customHeight="1" x14ac:dyDescent="0.2">
      <c r="A19" s="1354"/>
      <c r="B19" s="1355"/>
      <c r="C19" s="1355"/>
      <c r="D19" s="1355"/>
      <c r="E19" s="1355"/>
      <c r="F19" s="1355"/>
      <c r="G19" s="1355"/>
      <c r="H19" s="1355"/>
      <c r="I19" s="1355"/>
      <c r="J19" s="1355"/>
      <c r="K19" s="1355"/>
      <c r="L19" s="1355"/>
      <c r="M19" s="1355"/>
      <c r="N19" s="1168"/>
      <c r="O19" s="1168"/>
      <c r="P19" s="677"/>
      <c r="Q19" s="677"/>
    </row>
    <row r="20" spans="1:26" ht="16.5" customHeight="1" x14ac:dyDescent="0.2">
      <c r="A20" s="138" t="s">
        <v>194</v>
      </c>
      <c r="B20" s="32">
        <f>'Common-size FS'!B71</f>
        <v>9700</v>
      </c>
      <c r="C20" s="32">
        <f>'IS Analysis Adjustments'!AZ4</f>
        <v>10877</v>
      </c>
      <c r="D20" s="32">
        <f>'IS Analysis Adjustments'!BA4</f>
        <v>12148</v>
      </c>
      <c r="E20" s="32">
        <f>'IS Analysis Adjustments'!BB4</f>
        <v>12540</v>
      </c>
      <c r="F20" s="32">
        <f>'IS Analysis Adjustments'!BC4</f>
        <v>13506</v>
      </c>
      <c r="G20" s="32">
        <f>'IS Analysis Adjustments'!BD4</f>
        <v>14373</v>
      </c>
      <c r="H20" s="32">
        <f>'Projected FS'!G44</f>
        <v>15070</v>
      </c>
      <c r="I20" s="147">
        <f>ROUND(H20*(1+I13),0)</f>
        <v>15748</v>
      </c>
      <c r="J20" s="147">
        <f>ROUND(I20*(1+J13),0)</f>
        <v>16457</v>
      </c>
      <c r="K20" s="147">
        <f>ROUND(J20*(1+K13),0)</f>
        <v>17198</v>
      </c>
      <c r="L20" s="147">
        <f>ROUND(K20*(1+L13),0)</f>
        <v>17972</v>
      </c>
      <c r="M20" s="147">
        <f>ROUND(L20*(1+M13),0)</f>
        <v>18511</v>
      </c>
      <c r="N20" s="682"/>
      <c r="O20" s="682"/>
      <c r="P20" s="718"/>
    </row>
    <row r="21" spans="1:26" ht="16.5" customHeight="1" x14ac:dyDescent="0.2">
      <c r="A21" s="138" t="s">
        <v>195</v>
      </c>
      <c r="B21" s="32">
        <f>'Common-size FS'!B93</f>
        <v>991</v>
      </c>
      <c r="C21" s="32">
        <f>'IS Analysis Adjustments'!AZ26</f>
        <v>1097</v>
      </c>
      <c r="D21" s="32">
        <f>'IS Analysis Adjustments'!BA26</f>
        <v>1105</v>
      </c>
      <c r="E21" s="32">
        <f>'IS Analysis Adjustments'!BB26</f>
        <v>1105</v>
      </c>
      <c r="F21" s="32">
        <f>'IS Analysis Adjustments'!BC26</f>
        <v>1050</v>
      </c>
      <c r="G21" s="32">
        <f>'IS Analysis Adjustments'!BD26</f>
        <v>750</v>
      </c>
      <c r="H21" s="32">
        <f>'Projected FS'!G66</f>
        <v>840</v>
      </c>
      <c r="I21" s="147">
        <f t="shared" ref="I21:M22" si="5">ROUND(I20*I14,0)</f>
        <v>945</v>
      </c>
      <c r="J21" s="147">
        <f t="shared" si="5"/>
        <v>987</v>
      </c>
      <c r="K21" s="147">
        <f t="shared" si="5"/>
        <v>1032</v>
      </c>
      <c r="L21" s="147">
        <f t="shared" si="5"/>
        <v>1078</v>
      </c>
      <c r="M21" s="147">
        <f t="shared" si="5"/>
        <v>1111</v>
      </c>
      <c r="N21" s="682"/>
      <c r="O21" s="682"/>
      <c r="P21" s="718"/>
    </row>
    <row r="22" spans="1:26" ht="16.5" customHeight="1" x14ac:dyDescent="0.2">
      <c r="A22" s="138" t="s">
        <v>196</v>
      </c>
      <c r="B22" s="32">
        <f>'Common-size FS'!B94</f>
        <v>378</v>
      </c>
      <c r="C22" s="32">
        <f>'IS Analysis Adjustments'!AZ27</f>
        <v>427</v>
      </c>
      <c r="D22" s="32">
        <f>'IS Analysis Adjustments'!BA27</f>
        <v>419</v>
      </c>
      <c r="E22" s="32">
        <f>'IS Analysis Adjustments'!BB27</f>
        <v>423</v>
      </c>
      <c r="F22" s="32">
        <f>'IS Analysis Adjustments'!BC27</f>
        <v>412</v>
      </c>
      <c r="G22" s="32">
        <f>'IS Analysis Adjustments'!BD27</f>
        <v>289</v>
      </c>
      <c r="H22" s="171">
        <f>'Projected FS'!G67</f>
        <v>320</v>
      </c>
      <c r="I22" s="147">
        <f t="shared" si="5"/>
        <v>360</v>
      </c>
      <c r="J22" s="147">
        <f t="shared" si="5"/>
        <v>376</v>
      </c>
      <c r="K22" s="147">
        <f t="shared" si="5"/>
        <v>393</v>
      </c>
      <c r="L22" s="147">
        <f t="shared" si="5"/>
        <v>410</v>
      </c>
      <c r="M22" s="147">
        <f t="shared" si="5"/>
        <v>423</v>
      </c>
      <c r="N22" s="682"/>
      <c r="O22" s="682"/>
      <c r="P22" s="718"/>
    </row>
    <row r="23" spans="1:26" s="1169" customFormat="1" ht="16.5" customHeight="1" x14ac:dyDescent="0.2">
      <c r="A23" s="184" t="s">
        <v>760</v>
      </c>
      <c r="B23" s="41">
        <f>'Common-size FS'!B96</f>
        <v>0</v>
      </c>
      <c r="C23" s="41">
        <f>'Common-size FS'!C96</f>
        <v>0</v>
      </c>
      <c r="D23" s="41">
        <f>'Common-size FS'!D96</f>
        <v>0</v>
      </c>
      <c r="E23" s="41">
        <f>'Common-size FS'!E96</f>
        <v>0</v>
      </c>
      <c r="F23" s="41">
        <f>'Common-size FS'!F96</f>
        <v>0</v>
      </c>
      <c r="G23" s="41">
        <f>'Common-size FS'!G96</f>
        <v>0</v>
      </c>
      <c r="H23" s="41">
        <f>'Projected FS'!G69</f>
        <v>0</v>
      </c>
      <c r="I23" s="759"/>
      <c r="J23" s="759"/>
      <c r="K23" s="759"/>
      <c r="L23" s="759"/>
      <c r="M23" s="759"/>
      <c r="N23" s="683" t="s">
        <v>1072</v>
      </c>
      <c r="O23" s="1168"/>
      <c r="P23" s="677"/>
      <c r="Q23" s="677"/>
    </row>
    <row r="24" spans="1:26" s="714" customFormat="1" ht="16.5" customHeight="1" x14ac:dyDescent="0.2">
      <c r="A24" s="150" t="s">
        <v>197</v>
      </c>
      <c r="B24" s="151">
        <f>B21-B22-B23</f>
        <v>613</v>
      </c>
      <c r="C24" s="151">
        <f t="shared" ref="C24:H24" si="6">C21-C22-C23</f>
        <v>670</v>
      </c>
      <c r="D24" s="151">
        <f t="shared" si="6"/>
        <v>686</v>
      </c>
      <c r="E24" s="151">
        <f t="shared" si="6"/>
        <v>682</v>
      </c>
      <c r="F24" s="151">
        <f t="shared" si="6"/>
        <v>638</v>
      </c>
      <c r="G24" s="151">
        <f t="shared" si="6"/>
        <v>461</v>
      </c>
      <c r="H24" s="151">
        <f t="shared" si="6"/>
        <v>520</v>
      </c>
      <c r="I24" s="151">
        <f>I21-I22-I23</f>
        <v>585</v>
      </c>
      <c r="J24" s="151">
        <f>J21-J22-J23</f>
        <v>611</v>
      </c>
      <c r="K24" s="151">
        <f>K21-K22-K23</f>
        <v>639</v>
      </c>
      <c r="L24" s="151">
        <f>L21-L22-L23</f>
        <v>668</v>
      </c>
      <c r="M24" s="151">
        <f>M21-M22-M23</f>
        <v>688</v>
      </c>
      <c r="P24" s="730"/>
      <c r="Q24" s="730"/>
    </row>
    <row r="25" spans="1:26" s="1169" customFormat="1" ht="16.5" customHeight="1" x14ac:dyDescent="0.2">
      <c r="A25" s="756" t="s">
        <v>761</v>
      </c>
      <c r="B25" s="760" t="s">
        <v>47</v>
      </c>
      <c r="C25" s="757">
        <f>'Financial Ratios'!C71</f>
        <v>0</v>
      </c>
      <c r="D25" s="757">
        <f>'Financial Ratios'!D71</f>
        <v>0</v>
      </c>
      <c r="E25" s="757">
        <f>'Financial Ratios'!E71</f>
        <v>0</v>
      </c>
      <c r="F25" s="757">
        <f>'Financial Ratios'!F71</f>
        <v>0</v>
      </c>
      <c r="G25" s="757">
        <f>'Financial Ratios'!G71</f>
        <v>0</v>
      </c>
      <c r="H25" s="758">
        <f>-'Projected FS'!G165</f>
        <v>0</v>
      </c>
      <c r="I25" s="759"/>
      <c r="J25" s="759"/>
      <c r="K25" s="759"/>
      <c r="L25" s="759"/>
      <c r="M25" s="759"/>
      <c r="N25" s="1168" t="s">
        <v>1072</v>
      </c>
      <c r="O25" s="1168"/>
      <c r="P25" s="677"/>
      <c r="Q25" s="677"/>
    </row>
    <row r="26" spans="1:26" s="685" customFormat="1" ht="6" customHeight="1" x14ac:dyDescent="0.2">
      <c r="A26" s="1356"/>
      <c r="B26" s="1357"/>
      <c r="C26" s="1357"/>
      <c r="D26" s="1357"/>
      <c r="E26" s="1357"/>
      <c r="F26" s="1357"/>
      <c r="G26" s="1357"/>
      <c r="H26" s="1357"/>
      <c r="I26" s="1357"/>
      <c r="J26" s="1357"/>
      <c r="K26" s="1357"/>
      <c r="L26" s="1357"/>
      <c r="M26" s="1357"/>
      <c r="P26" s="725"/>
      <c r="Q26" s="725"/>
    </row>
    <row r="27" spans="1:26" s="1213" customFormat="1" ht="16.5" customHeight="1" x14ac:dyDescent="0.2">
      <c r="A27" s="152" t="s">
        <v>198</v>
      </c>
      <c r="B27" s="1358"/>
      <c r="C27" s="1359"/>
      <c r="D27" s="1359"/>
      <c r="E27" s="1359"/>
      <c r="F27" s="1359"/>
      <c r="G27" s="1359"/>
      <c r="H27" s="1360"/>
      <c r="I27" s="1360"/>
      <c r="J27" s="1360"/>
      <c r="K27" s="1360"/>
      <c r="L27" s="1360"/>
      <c r="M27" s="1359"/>
      <c r="N27" s="683"/>
      <c r="O27" s="683"/>
      <c r="P27" s="726"/>
      <c r="Q27" s="726"/>
      <c r="R27" s="683"/>
      <c r="S27" s="683"/>
      <c r="T27" s="683"/>
      <c r="U27" s="683"/>
      <c r="V27" s="683"/>
      <c r="W27" s="683"/>
      <c r="X27" s="683"/>
      <c r="Y27" s="683"/>
      <c r="Z27" s="683"/>
    </row>
    <row r="28" spans="1:26" s="683" customFormat="1" ht="16.5" customHeight="1" x14ac:dyDescent="0.2">
      <c r="A28" s="154" t="s">
        <v>199</v>
      </c>
      <c r="B28" s="66">
        <f>'RNOA &amp; ROCE Analysis'!B34</f>
        <v>4801.8999999999996</v>
      </c>
      <c r="C28" s="66">
        <f>'RNOA &amp; ROCE Analysis'!C34</f>
        <v>5911</v>
      </c>
      <c r="D28" s="66">
        <f>'RNOA &amp; ROCE Analysis'!D34</f>
        <v>5804</v>
      </c>
      <c r="E28" s="66">
        <f>'RNOA &amp; ROCE Analysis'!E34</f>
        <v>6640</v>
      </c>
      <c r="F28" s="66">
        <f>'RNOA &amp; ROCE Analysis'!F34</f>
        <v>7397</v>
      </c>
      <c r="G28" s="66">
        <f>'RNOA &amp; ROCE Analysis'!G34</f>
        <v>5886</v>
      </c>
      <c r="H28" s="155">
        <f>'Projected FS'!G87-'Projected FS'!G77-'Projected FS'!G90-'Projected FS'!G91-'Projected FS'!G94-'Projected FS'!G98</f>
        <v>6080</v>
      </c>
      <c r="I28" s="155">
        <f>ROUND(I20/I16,-1)</f>
        <v>7000</v>
      </c>
      <c r="J28" s="155">
        <f>ROUND(J20/J16,-1)</f>
        <v>7310</v>
      </c>
      <c r="K28" s="155">
        <f>ROUND(K20/K16,-1)</f>
        <v>7640</v>
      </c>
      <c r="L28" s="155">
        <f>ROUND(L20/L16,-1)</f>
        <v>7990</v>
      </c>
      <c r="M28" s="155">
        <f>ROUND(M20/M16,-1)</f>
        <v>8230</v>
      </c>
      <c r="N28" s="682"/>
      <c r="P28" s="726"/>
      <c r="Q28" s="726"/>
    </row>
    <row r="29" spans="1:26" s="684" customFormat="1" ht="16.5" customHeight="1" x14ac:dyDescent="0.2">
      <c r="A29" s="156" t="s">
        <v>200</v>
      </c>
      <c r="B29" s="157">
        <f t="shared" ref="B29:M29" si="7">B28-B30</f>
        <v>2780.8999999999996</v>
      </c>
      <c r="C29" s="157">
        <f t="shared" si="7"/>
        <v>3955</v>
      </c>
      <c r="D29" s="157">
        <f t="shared" si="7"/>
        <v>3891</v>
      </c>
      <c r="E29" s="157">
        <f t="shared" si="7"/>
        <v>4560</v>
      </c>
      <c r="F29" s="157">
        <f t="shared" si="7"/>
        <v>4957</v>
      </c>
      <c r="G29" s="157">
        <f t="shared" si="7"/>
        <v>5015</v>
      </c>
      <c r="H29" s="157">
        <f t="shared" si="7"/>
        <v>4960</v>
      </c>
      <c r="I29" s="157">
        <f t="shared" si="7"/>
        <v>5730</v>
      </c>
      <c r="J29" s="157">
        <f t="shared" si="7"/>
        <v>5980</v>
      </c>
      <c r="K29" s="157">
        <f t="shared" si="7"/>
        <v>6250</v>
      </c>
      <c r="L29" s="157">
        <f t="shared" si="7"/>
        <v>6540</v>
      </c>
      <c r="M29" s="157">
        <f t="shared" si="7"/>
        <v>6730</v>
      </c>
      <c r="P29" s="724"/>
      <c r="Q29" s="724"/>
    </row>
    <row r="30" spans="1:26" s="683" customFormat="1" ht="16.5" customHeight="1" x14ac:dyDescent="0.2">
      <c r="A30" s="154" t="s">
        <v>201</v>
      </c>
      <c r="B30" s="66">
        <f>'RNOA &amp; ROCE Analysis'!B68</f>
        <v>2021</v>
      </c>
      <c r="C30" s="66">
        <f>'RNOA &amp; ROCE Analysis'!C68</f>
        <v>1956</v>
      </c>
      <c r="D30" s="66">
        <f>'RNOA &amp; ROCE Analysis'!D68</f>
        <v>1913</v>
      </c>
      <c r="E30" s="66">
        <f>'RNOA &amp; ROCE Analysis'!E68</f>
        <v>2080</v>
      </c>
      <c r="F30" s="66">
        <f>'RNOA &amp; ROCE Analysis'!F68</f>
        <v>2440</v>
      </c>
      <c r="G30" s="66">
        <f>'RNOA &amp; ROCE Analysis'!G68</f>
        <v>871</v>
      </c>
      <c r="H30" s="158">
        <f>'Projected FS'!G106</f>
        <v>1120</v>
      </c>
      <c r="I30" s="158">
        <f>ROUND(I28/I17,-1)</f>
        <v>1270</v>
      </c>
      <c r="J30" s="158">
        <f>ROUND(J28/J17,-1)</f>
        <v>1330</v>
      </c>
      <c r="K30" s="158">
        <f>ROUND(K28/K17,-1)</f>
        <v>1390</v>
      </c>
      <c r="L30" s="158">
        <f>ROUND(L28/L17,-1)</f>
        <v>1450</v>
      </c>
      <c r="M30" s="158">
        <f>ROUND(M28/M17,-1)</f>
        <v>1500</v>
      </c>
      <c r="Q30" s="726"/>
    </row>
    <row r="31" spans="1:26" s="1179" customFormat="1" ht="16.5" customHeight="1" x14ac:dyDescent="0.2">
      <c r="A31" s="159" t="s">
        <v>202</v>
      </c>
      <c r="B31" s="160" t="s">
        <v>47</v>
      </c>
      <c r="C31" s="161">
        <f t="shared" ref="C31:H31" si="8">(C24-C25)/AVERAGE(B30:C30)</f>
        <v>0.33693738999245665</v>
      </c>
      <c r="D31" s="161">
        <f t="shared" si="8"/>
        <v>0.35461359524424918</v>
      </c>
      <c r="E31" s="161">
        <f t="shared" si="8"/>
        <v>0.3415977961432507</v>
      </c>
      <c r="F31" s="161">
        <f t="shared" si="8"/>
        <v>0.28230088495575223</v>
      </c>
      <c r="G31" s="161">
        <f t="shared" si="8"/>
        <v>0.27846572032618544</v>
      </c>
      <c r="H31" s="161">
        <f t="shared" si="8"/>
        <v>0.52235057759919634</v>
      </c>
      <c r="I31" s="161">
        <f>I24/AVERAGE(H30:I30)</f>
        <v>0.4895397489539749</v>
      </c>
      <c r="J31" s="161">
        <f>J24/AVERAGE(I30:J30)</f>
        <v>0.47</v>
      </c>
      <c r="K31" s="161">
        <f>K24/AVERAGE(J30:K30)</f>
        <v>0.46985294117647058</v>
      </c>
      <c r="L31" s="161">
        <f>L24/AVERAGE(K30:L30)</f>
        <v>0.47042253521126759</v>
      </c>
      <c r="M31" s="161">
        <f>M24/AVERAGE(L30:M30)</f>
        <v>0.46644067796610167</v>
      </c>
    </row>
    <row r="32" spans="1:26" s="685" customFormat="1" ht="6" customHeight="1" x14ac:dyDescent="0.2">
      <c r="A32" s="1356"/>
      <c r="B32" s="1357"/>
      <c r="C32" s="1357"/>
      <c r="D32" s="1357"/>
      <c r="E32" s="1357"/>
      <c r="F32" s="1357"/>
      <c r="G32" s="1357"/>
      <c r="H32" s="1357"/>
      <c r="I32" s="1357"/>
      <c r="J32" s="1357"/>
      <c r="K32" s="1357"/>
      <c r="L32" s="1357"/>
      <c r="M32" s="1357"/>
      <c r="Q32" s="725"/>
    </row>
    <row r="33" spans="1:26" s="1213" customFormat="1" ht="16.5" customHeight="1" x14ac:dyDescent="0.2">
      <c r="A33" s="152" t="s">
        <v>291</v>
      </c>
      <c r="B33" s="1362"/>
      <c r="C33" s="1362"/>
      <c r="D33" s="1362"/>
      <c r="E33" s="1362"/>
      <c r="F33" s="1362"/>
      <c r="G33" s="1362"/>
      <c r="H33" s="1363"/>
      <c r="I33" s="1362"/>
      <c r="J33" s="1362"/>
      <c r="K33" s="1362"/>
      <c r="L33" s="1362"/>
      <c r="M33" s="1362"/>
      <c r="N33" s="683"/>
      <c r="O33" s="683"/>
      <c r="P33" s="683"/>
      <c r="Q33" s="726"/>
      <c r="R33" s="683"/>
      <c r="S33" s="683"/>
      <c r="T33" s="683"/>
      <c r="U33" s="683"/>
      <c r="V33" s="683"/>
      <c r="W33" s="683"/>
      <c r="X33" s="683"/>
      <c r="Y33" s="683"/>
      <c r="Z33" s="683"/>
    </row>
    <row r="34" spans="1:26" ht="16.5" customHeight="1" x14ac:dyDescent="0.2">
      <c r="A34" s="148" t="s">
        <v>762</v>
      </c>
      <c r="B34" s="1364"/>
      <c r="C34" s="1365"/>
      <c r="D34" s="1365"/>
      <c r="E34" s="1365"/>
      <c r="F34" s="1365"/>
      <c r="G34" s="1365"/>
      <c r="H34" s="10">
        <f t="shared" ref="H34:M34" si="9">H24-H25</f>
        <v>520</v>
      </c>
      <c r="I34" s="10">
        <f t="shared" si="9"/>
        <v>585</v>
      </c>
      <c r="J34" s="10">
        <f t="shared" si="9"/>
        <v>611</v>
      </c>
      <c r="K34" s="10">
        <f t="shared" si="9"/>
        <v>639</v>
      </c>
      <c r="L34" s="10">
        <f t="shared" si="9"/>
        <v>668</v>
      </c>
      <c r="M34" s="10">
        <f t="shared" si="9"/>
        <v>688</v>
      </c>
      <c r="N34" s="682"/>
      <c r="O34" s="682"/>
    </row>
    <row r="35" spans="1:26" ht="16.5" customHeight="1" x14ac:dyDescent="0.2">
      <c r="A35" s="138" t="s">
        <v>292</v>
      </c>
      <c r="B35" s="1364"/>
      <c r="C35" s="1365"/>
      <c r="D35" s="1365"/>
      <c r="E35" s="1365"/>
      <c r="F35" s="1365"/>
      <c r="G35" s="1365"/>
      <c r="H35" s="10">
        <f t="shared" ref="H35:M35" si="10">G30</f>
        <v>871</v>
      </c>
      <c r="I35" s="10">
        <f t="shared" si="10"/>
        <v>1120</v>
      </c>
      <c r="J35" s="10">
        <f t="shared" si="10"/>
        <v>1270</v>
      </c>
      <c r="K35" s="10">
        <f t="shared" si="10"/>
        <v>1330</v>
      </c>
      <c r="L35" s="10">
        <f t="shared" si="10"/>
        <v>1390</v>
      </c>
      <c r="M35" s="31">
        <f t="shared" si="10"/>
        <v>1450</v>
      </c>
      <c r="N35" s="682"/>
      <c r="O35" s="682"/>
    </row>
    <row r="36" spans="1:26" s="1180" customFormat="1" ht="16.5" customHeight="1" x14ac:dyDescent="0.2">
      <c r="A36" s="162" t="s">
        <v>209</v>
      </c>
      <c r="B36" s="1383"/>
      <c r="C36" s="1384"/>
      <c r="D36" s="1384"/>
      <c r="E36" s="1384"/>
      <c r="F36" s="1384"/>
      <c r="G36" s="1384"/>
      <c r="H36" s="24">
        <f t="shared" ref="H36:M36" si="11">$H18</f>
        <v>0.105075</v>
      </c>
      <c r="I36" s="24">
        <f t="shared" si="11"/>
        <v>0.105075</v>
      </c>
      <c r="J36" s="24">
        <f t="shared" si="11"/>
        <v>0.105075</v>
      </c>
      <c r="K36" s="24">
        <f t="shared" si="11"/>
        <v>0.105075</v>
      </c>
      <c r="L36" s="24">
        <f t="shared" si="11"/>
        <v>0.105075</v>
      </c>
      <c r="M36" s="163">
        <f t="shared" si="11"/>
        <v>0.105075</v>
      </c>
      <c r="Q36" s="1181"/>
    </row>
    <row r="37" spans="1:26" s="686" customFormat="1" ht="16.5" customHeight="1" x14ac:dyDescent="0.2">
      <c r="A37" s="164" t="s">
        <v>210</v>
      </c>
      <c r="B37" s="1385"/>
      <c r="C37" s="1386"/>
      <c r="D37" s="1386"/>
      <c r="E37" s="1386"/>
      <c r="F37" s="1386"/>
      <c r="G37" s="1386"/>
      <c r="H37" s="14">
        <f t="shared" ref="H37:M37" si="12">ROUND(H35*H36,0)</f>
        <v>92</v>
      </c>
      <c r="I37" s="14">
        <f t="shared" si="12"/>
        <v>118</v>
      </c>
      <c r="J37" s="14">
        <f t="shared" si="12"/>
        <v>133</v>
      </c>
      <c r="K37" s="14">
        <f t="shared" si="12"/>
        <v>140</v>
      </c>
      <c r="L37" s="14">
        <f t="shared" si="12"/>
        <v>146</v>
      </c>
      <c r="M37" s="14">
        <f t="shared" si="12"/>
        <v>152</v>
      </c>
      <c r="Q37" s="729"/>
    </row>
    <row r="38" spans="1:26" s="683" customFormat="1" ht="16.5" customHeight="1" x14ac:dyDescent="0.2">
      <c r="A38" s="167" t="s">
        <v>211</v>
      </c>
      <c r="B38" s="1351"/>
      <c r="C38" s="1352"/>
      <c r="D38" s="1352"/>
      <c r="E38" s="1352"/>
      <c r="F38" s="1352"/>
      <c r="G38" s="1352"/>
      <c r="H38" s="28">
        <f t="shared" ref="H38:M38" si="13">H34-H37</f>
        <v>428</v>
      </c>
      <c r="I38" s="28">
        <f t="shared" si="13"/>
        <v>467</v>
      </c>
      <c r="J38" s="28">
        <f t="shared" si="13"/>
        <v>478</v>
      </c>
      <c r="K38" s="28">
        <f t="shared" si="13"/>
        <v>499</v>
      </c>
      <c r="L38" s="28">
        <f t="shared" si="13"/>
        <v>522</v>
      </c>
      <c r="M38" s="66">
        <f t="shared" si="13"/>
        <v>536</v>
      </c>
    </row>
    <row r="39" spans="1:26" s="683" customFormat="1" ht="16.5" customHeight="1" x14ac:dyDescent="0.2">
      <c r="A39" s="167" t="s">
        <v>212</v>
      </c>
      <c r="B39" s="1364"/>
      <c r="C39" s="1365"/>
      <c r="D39" s="1365"/>
      <c r="E39" s="1365"/>
      <c r="F39" s="1365"/>
      <c r="G39" s="1365"/>
      <c r="H39" s="28">
        <v>1</v>
      </c>
      <c r="I39" s="28">
        <f>H39+1</f>
        <v>2</v>
      </c>
      <c r="J39" s="28">
        <f>I39+1</f>
        <v>3</v>
      </c>
      <c r="K39" s="28">
        <f>J39+1</f>
        <v>4</v>
      </c>
      <c r="L39" s="28">
        <f>K39+1</f>
        <v>5</v>
      </c>
      <c r="M39" s="1195"/>
      <c r="Q39" s="726"/>
    </row>
    <row r="40" spans="1:26" s="1182" customFormat="1" ht="16.5" customHeight="1" x14ac:dyDescent="0.2">
      <c r="A40" s="138" t="s">
        <v>213</v>
      </c>
      <c r="B40" s="1387"/>
      <c r="C40" s="1388"/>
      <c r="D40" s="1388"/>
      <c r="E40" s="1388"/>
      <c r="F40" s="1388"/>
      <c r="G40" s="1388"/>
      <c r="H40" s="168">
        <f>(1/(1+H36))^H39</f>
        <v>0.90491595593059293</v>
      </c>
      <c r="I40" s="168">
        <f>(1/(1+I36))^I39</f>
        <v>0.81887288729777885</v>
      </c>
      <c r="J40" s="168">
        <f>(1/(1+J36))^J39</f>
        <v>0.74101114159471426</v>
      </c>
      <c r="K40" s="168">
        <f>(1/(1+K36))^K39</f>
        <v>0.67055280555140084</v>
      </c>
      <c r="L40" s="168">
        <f>(1/(1+L36))^L39</f>
        <v>0.60679393303748685</v>
      </c>
      <c r="M40" s="1196"/>
      <c r="Q40" s="1183"/>
    </row>
    <row r="41" spans="1:26" ht="16.5" customHeight="1" x14ac:dyDescent="0.2">
      <c r="A41" s="138" t="s">
        <v>214</v>
      </c>
      <c r="B41" s="1364"/>
      <c r="C41" s="1365"/>
      <c r="D41" s="1365"/>
      <c r="E41" s="1365"/>
      <c r="F41" s="1365"/>
      <c r="G41" s="1365"/>
      <c r="H41" s="27">
        <f>ROUND(H38*H40,0)</f>
        <v>387</v>
      </c>
      <c r="I41" s="27">
        <f>ROUND(I38*I40,0)</f>
        <v>382</v>
      </c>
      <c r="J41" s="27">
        <f>ROUND(J38*J40,0)</f>
        <v>354</v>
      </c>
      <c r="K41" s="27">
        <f>ROUND(K38*K40,0)</f>
        <v>335</v>
      </c>
      <c r="L41" s="27">
        <f>ROUND(L38*L40,0)</f>
        <v>317</v>
      </c>
      <c r="M41" s="1197"/>
      <c r="N41" s="682"/>
      <c r="O41" s="682"/>
    </row>
    <row r="42" spans="1:26" ht="16.5" customHeight="1" x14ac:dyDescent="0.2">
      <c r="A42" s="138" t="s">
        <v>215</v>
      </c>
      <c r="B42" s="1364"/>
      <c r="C42" s="1365"/>
      <c r="D42" s="1365"/>
      <c r="E42" s="1365"/>
      <c r="F42" s="1365"/>
      <c r="G42" s="1365"/>
      <c r="H42" s="27">
        <f>SUM($H41:L41)</f>
        <v>1775</v>
      </c>
      <c r="I42" s="1361"/>
      <c r="J42" s="1350"/>
      <c r="K42" s="1350"/>
      <c r="L42" s="1350"/>
      <c r="M42" s="1350"/>
      <c r="N42" s="682"/>
      <c r="O42" s="682"/>
    </row>
    <row r="43" spans="1:26" ht="16.5" customHeight="1" x14ac:dyDescent="0.2">
      <c r="A43" s="138" t="s">
        <v>216</v>
      </c>
      <c r="B43" s="1364"/>
      <c r="C43" s="1365"/>
      <c r="D43" s="1365"/>
      <c r="E43" s="1365"/>
      <c r="F43" s="1365"/>
      <c r="G43" s="1365"/>
      <c r="H43" s="27">
        <f>ROUND(M38/((H18-M13)*(1+H18)^L39),0)</f>
        <v>4332</v>
      </c>
      <c r="I43" s="1350"/>
      <c r="J43" s="1350"/>
      <c r="K43" s="1350"/>
      <c r="L43" s="1350"/>
      <c r="M43" s="1350"/>
      <c r="N43" s="682" t="str">
        <f>IF(H43&lt;0, "&lt;&lt; If terminal value is negative or zero, be sure terminal period sales growth rate (cell M13) is less than rE (cell H18)", " ")</f>
        <v xml:space="preserve"> </v>
      </c>
      <c r="O43" s="682"/>
    </row>
    <row r="44" spans="1:26" s="684" customFormat="1" ht="16.5" customHeight="1" x14ac:dyDescent="0.2">
      <c r="A44" s="162" t="s">
        <v>103</v>
      </c>
      <c r="B44" s="1371"/>
      <c r="C44" s="1372"/>
      <c r="D44" s="1372"/>
      <c r="E44" s="1372"/>
      <c r="F44" s="1372"/>
      <c r="G44" s="1372"/>
      <c r="H44" s="35">
        <f>G30</f>
        <v>871</v>
      </c>
      <c r="I44" s="1366"/>
      <c r="J44" s="1366"/>
      <c r="K44" s="1366"/>
      <c r="L44" s="1366"/>
      <c r="M44" s="1366"/>
      <c r="Q44" s="724"/>
    </row>
    <row r="45" spans="1:26" s="683" customFormat="1" ht="16.5" customHeight="1" x14ac:dyDescent="0.2">
      <c r="A45" s="167" t="s">
        <v>104</v>
      </c>
      <c r="B45" s="1351"/>
      <c r="C45" s="1352"/>
      <c r="D45" s="1352"/>
      <c r="E45" s="1352"/>
      <c r="F45" s="1352"/>
      <c r="G45" s="1352"/>
      <c r="H45" s="28">
        <f>SUM(H42:H44)</f>
        <v>6978</v>
      </c>
      <c r="I45" s="1367"/>
      <c r="J45" s="1367"/>
      <c r="K45" s="1367"/>
      <c r="L45" s="1367"/>
      <c r="M45" s="1367"/>
      <c r="Q45" s="726"/>
    </row>
    <row r="46" spans="1:26" s="1184" customFormat="1" ht="16.5" customHeight="1" x14ac:dyDescent="0.2">
      <c r="A46" s="148" t="s">
        <v>105</v>
      </c>
      <c r="B46" s="1368"/>
      <c r="C46" s="1369"/>
      <c r="D46" s="1369"/>
      <c r="E46" s="1369"/>
      <c r="F46" s="1369"/>
      <c r="G46" s="1369"/>
      <c r="H46" s="374">
        <f>'Common-size FS'!G66</f>
        <v>190.1</v>
      </c>
      <c r="I46" s="1370"/>
      <c r="J46" s="1370"/>
      <c r="K46" s="1370"/>
      <c r="L46" s="1370"/>
      <c r="M46" s="1370"/>
      <c r="Q46" s="1185"/>
    </row>
    <row r="47" spans="1:26" s="1186" customFormat="1" ht="16.5" customHeight="1" thickBot="1" x14ac:dyDescent="0.25">
      <c r="A47" s="169" t="s">
        <v>106</v>
      </c>
      <c r="B47" s="1381"/>
      <c r="C47" s="1382"/>
      <c r="D47" s="1382"/>
      <c r="E47" s="1382"/>
      <c r="F47" s="1382"/>
      <c r="G47" s="1382"/>
      <c r="H47" s="52">
        <f>IF(H45&lt;0,0,ROUND(H45/H46,0))</f>
        <v>37</v>
      </c>
      <c r="I47" s="1373"/>
      <c r="J47" s="1373"/>
      <c r="K47" s="1373"/>
      <c r="L47" s="1373"/>
      <c r="M47" s="1373"/>
      <c r="Q47" s="1187"/>
    </row>
    <row r="48" spans="1:26" s="1169" customFormat="1" ht="6" customHeight="1" x14ac:dyDescent="0.2">
      <c r="A48" s="1374"/>
      <c r="B48" s="1375"/>
      <c r="C48" s="1375"/>
      <c r="D48" s="1375"/>
      <c r="E48" s="1375"/>
      <c r="F48" s="1375"/>
      <c r="G48" s="1375"/>
      <c r="H48" s="1168"/>
      <c r="I48" s="1171"/>
      <c r="J48" s="1168"/>
      <c r="K48" s="1168"/>
      <c r="L48" s="1168"/>
      <c r="M48" s="1168"/>
      <c r="N48" s="1168"/>
      <c r="O48" s="1168"/>
      <c r="Q48" s="677"/>
    </row>
    <row r="49" spans="1:17" s="1188" customFormat="1" ht="16.5" customHeight="1" x14ac:dyDescent="0.2">
      <c r="A49" s="1376" t="s">
        <v>107</v>
      </c>
      <c r="B49" s="1377"/>
      <c r="C49" s="1377"/>
      <c r="D49" s="1377"/>
      <c r="E49" s="1377"/>
      <c r="F49" s="1377"/>
      <c r="G49" s="1377"/>
      <c r="H49" s="1192"/>
      <c r="I49" s="1192"/>
      <c r="J49" s="1192"/>
      <c r="K49" s="1192"/>
      <c r="L49" s="1192"/>
      <c r="M49" s="1192"/>
    </row>
    <row r="50" spans="1:17" s="718" customFormat="1" ht="16.5" customHeight="1" x14ac:dyDescent="0.2">
      <c r="A50" s="1340" t="s">
        <v>224</v>
      </c>
      <c r="B50" s="1378"/>
      <c r="C50" s="1378"/>
      <c r="D50" s="1378"/>
      <c r="E50" s="1378"/>
      <c r="F50" s="1378"/>
      <c r="G50" s="1378"/>
      <c r="H50" s="791"/>
      <c r="I50" s="791"/>
      <c r="J50" s="791"/>
      <c r="K50" s="791"/>
      <c r="L50" s="791"/>
      <c r="M50" s="791"/>
      <c r="N50" s="791"/>
      <c r="O50" s="791"/>
    </row>
    <row r="51" spans="1:17" s="1188" customFormat="1" ht="16.5" customHeight="1" x14ac:dyDescent="0.2">
      <c r="A51" s="1376" t="s">
        <v>225</v>
      </c>
      <c r="B51" s="1377"/>
      <c r="C51" s="1377"/>
      <c r="D51" s="1377"/>
      <c r="E51" s="1377"/>
      <c r="F51" s="1377"/>
      <c r="G51" s="1377"/>
      <c r="H51" s="1192"/>
      <c r="I51" s="1192"/>
      <c r="J51" s="1192"/>
      <c r="K51" s="1192"/>
      <c r="L51" s="1192"/>
      <c r="M51" s="1192"/>
    </row>
    <row r="52" spans="1:17" s="1188" customFormat="1" ht="16.5" customHeight="1" x14ac:dyDescent="0.2">
      <c r="A52" s="1340" t="s">
        <v>226</v>
      </c>
      <c r="B52" s="1377"/>
      <c r="C52" s="1377"/>
      <c r="D52" s="1377"/>
      <c r="E52" s="1377"/>
      <c r="F52" s="1377"/>
      <c r="G52" s="1377"/>
      <c r="H52" s="1192"/>
      <c r="I52" s="1192"/>
      <c r="J52" s="1192"/>
      <c r="K52" s="1192"/>
      <c r="L52" s="1192"/>
      <c r="M52" s="1192"/>
    </row>
    <row r="53" spans="1:17" s="718" customFormat="1" ht="16.5" customHeight="1" x14ac:dyDescent="0.2">
      <c r="A53" s="1376" t="s">
        <v>228</v>
      </c>
      <c r="B53" s="1377"/>
      <c r="C53" s="1377"/>
      <c r="D53" s="1377"/>
      <c r="E53" s="1377"/>
      <c r="F53" s="1377"/>
      <c r="G53" s="1377"/>
      <c r="H53" s="1192"/>
      <c r="I53" s="1192"/>
      <c r="J53" s="1192"/>
      <c r="K53" s="1192"/>
      <c r="L53" s="1192"/>
      <c r="M53" s="1192"/>
    </row>
    <row r="54" spans="1:17" s="718" customFormat="1" ht="16.5" customHeight="1" x14ac:dyDescent="0.2">
      <c r="I54" s="1190"/>
    </row>
    <row r="55" spans="1:17" s="725" customFormat="1" ht="16.5" customHeight="1" x14ac:dyDescent="0.2">
      <c r="I55" s="1191"/>
    </row>
    <row r="56" spans="1:17" ht="16.899999999999999" customHeight="1" x14ac:dyDescent="0.2">
      <c r="A56" s="1015" t="s">
        <v>1051</v>
      </c>
      <c r="B56" s="718"/>
      <c r="C56" s="718"/>
      <c r="D56" s="682"/>
      <c r="E56" s="682"/>
      <c r="F56" s="682"/>
      <c r="G56" s="682"/>
      <c r="H56" s="682"/>
      <c r="I56" s="781"/>
      <c r="J56" s="792"/>
      <c r="K56" s="781"/>
      <c r="L56" s="781"/>
      <c r="M56" s="781"/>
      <c r="N56" s="781"/>
      <c r="O56" s="682"/>
      <c r="Q56" s="682"/>
    </row>
    <row r="57" spans="1:17" ht="16.899999999999999" customHeight="1" x14ac:dyDescent="0.2">
      <c r="A57" s="544" t="s">
        <v>1031</v>
      </c>
      <c r="B57" s="682"/>
      <c r="C57" s="682"/>
      <c r="D57" s="682"/>
      <c r="E57" s="682"/>
      <c r="F57" s="682"/>
      <c r="G57" s="1016" t="s">
        <v>790</v>
      </c>
      <c r="H57" s="1016" t="s">
        <v>935</v>
      </c>
      <c r="I57" s="781"/>
      <c r="J57" s="792"/>
      <c r="K57" s="781"/>
      <c r="L57" s="781"/>
      <c r="M57" s="781"/>
      <c r="N57" s="781"/>
      <c r="O57" s="682"/>
      <c r="Q57" s="682"/>
    </row>
    <row r="58" spans="1:17" ht="16.5" customHeight="1" x14ac:dyDescent="0.2">
      <c r="A58" s="112" t="s">
        <v>1052</v>
      </c>
      <c r="B58" s="682"/>
      <c r="C58" s="682"/>
      <c r="D58" s="682"/>
      <c r="E58" s="682"/>
      <c r="F58" s="682"/>
      <c r="G58" s="31">
        <v>80</v>
      </c>
      <c r="H58" s="1013">
        <v>69</v>
      </c>
      <c r="I58" s="781"/>
      <c r="J58" s="792"/>
      <c r="K58" s="781"/>
      <c r="L58" s="781"/>
      <c r="M58" s="781"/>
      <c r="N58" s="781"/>
      <c r="O58" s="682"/>
      <c r="Q58" s="682"/>
    </row>
    <row r="59" spans="1:17" ht="16.5" customHeight="1" x14ac:dyDescent="0.2">
      <c r="A59" s="112" t="s">
        <v>1044</v>
      </c>
      <c r="B59" s="682"/>
      <c r="C59" s="682"/>
      <c r="D59" s="682"/>
      <c r="E59" s="682"/>
      <c r="F59" s="682"/>
      <c r="G59" s="31">
        <v>20</v>
      </c>
      <c r="H59" s="1013">
        <v>20</v>
      </c>
      <c r="I59" s="781"/>
      <c r="J59" s="792"/>
      <c r="K59" s="781"/>
      <c r="L59" s="781"/>
      <c r="M59" s="781"/>
      <c r="N59" s="781"/>
      <c r="O59" s="682"/>
      <c r="Q59" s="682"/>
    </row>
    <row r="60" spans="1:17" s="687" customFormat="1" ht="16.899999999999999" customHeight="1" thickBot="1" x14ac:dyDescent="0.25">
      <c r="A60" s="467" t="s">
        <v>936</v>
      </c>
      <c r="G60" s="37">
        <f>SUM(G58:G59)</f>
        <v>100</v>
      </c>
      <c r="H60" s="1080">
        <f>SUM(H58:H59)</f>
        <v>89</v>
      </c>
      <c r="I60" s="727"/>
      <c r="J60" s="1077"/>
      <c r="K60" s="1078"/>
      <c r="L60" s="1078"/>
      <c r="M60" s="1078"/>
      <c r="N60" s="1078"/>
    </row>
    <row r="61" spans="1:17" ht="16.5" customHeight="1" x14ac:dyDescent="0.2">
      <c r="A61" s="682"/>
      <c r="B61" s="682"/>
      <c r="C61" s="682"/>
      <c r="D61" s="682"/>
      <c r="E61" s="682"/>
      <c r="F61" s="682"/>
      <c r="G61" s="682"/>
      <c r="H61" s="682"/>
      <c r="I61" s="947"/>
      <c r="J61" s="682"/>
      <c r="K61" s="682"/>
      <c r="L61" s="682"/>
      <c r="M61" s="682"/>
      <c r="N61" s="682"/>
      <c r="O61" s="682"/>
    </row>
    <row r="62" spans="1:17" ht="16.5" customHeight="1" x14ac:dyDescent="0.2">
      <c r="A62" s="682"/>
      <c r="B62" s="682"/>
      <c r="C62" s="682"/>
      <c r="D62" s="682"/>
      <c r="E62" s="682"/>
      <c r="F62" s="682"/>
      <c r="G62" s="682"/>
      <c r="H62" s="682"/>
      <c r="I62" s="947"/>
      <c r="J62" s="682"/>
      <c r="K62" s="682"/>
      <c r="L62" s="682"/>
      <c r="M62" s="682"/>
      <c r="N62" s="682"/>
      <c r="O62" s="682"/>
    </row>
    <row r="63" spans="1:17" ht="16.5" customHeight="1" x14ac:dyDescent="0.2">
      <c r="A63" s="682"/>
      <c r="B63" s="682"/>
      <c r="C63" s="682"/>
      <c r="D63" s="682"/>
      <c r="E63" s="682"/>
      <c r="F63" s="682"/>
      <c r="G63" s="682"/>
      <c r="H63" s="682"/>
      <c r="I63" s="947"/>
      <c r="J63" s="682"/>
      <c r="K63" s="682"/>
      <c r="L63" s="682"/>
      <c r="M63" s="682"/>
      <c r="N63" s="682"/>
      <c r="O63" s="682"/>
    </row>
    <row r="64" spans="1:17" ht="16.5" customHeight="1" x14ac:dyDescent="0.2">
      <c r="A64" s="682"/>
      <c r="B64" s="682"/>
      <c r="C64" s="682"/>
      <c r="D64" s="682"/>
      <c r="E64" s="682"/>
      <c r="F64" s="682"/>
      <c r="G64" s="682"/>
      <c r="H64" s="682"/>
      <c r="I64" s="947"/>
      <c r="J64" s="682"/>
      <c r="K64" s="682"/>
      <c r="L64" s="682"/>
      <c r="M64" s="682"/>
      <c r="N64" s="682"/>
      <c r="O64" s="682"/>
    </row>
    <row r="65" spans="1:15" ht="16.5" customHeight="1" x14ac:dyDescent="0.2">
      <c r="A65" s="682"/>
      <c r="B65" s="682"/>
      <c r="C65" s="682"/>
      <c r="D65" s="682"/>
      <c r="E65" s="682"/>
      <c r="F65" s="682"/>
      <c r="G65" s="682"/>
      <c r="H65" s="682"/>
      <c r="I65" s="947"/>
      <c r="J65" s="682"/>
      <c r="K65" s="682"/>
      <c r="L65" s="682"/>
      <c r="M65" s="682"/>
      <c r="N65" s="682"/>
      <c r="O65" s="682"/>
    </row>
    <row r="66" spans="1:15" ht="16.5" customHeight="1" x14ac:dyDescent="0.2">
      <c r="A66" s="682"/>
      <c r="B66" s="682"/>
      <c r="C66" s="682"/>
      <c r="D66" s="682"/>
      <c r="E66" s="682"/>
      <c r="F66" s="682"/>
      <c r="G66" s="682"/>
      <c r="H66" s="682"/>
      <c r="I66" s="947"/>
      <c r="J66" s="682"/>
      <c r="K66" s="682"/>
      <c r="L66" s="682"/>
      <c r="M66" s="682"/>
      <c r="N66" s="682"/>
      <c r="O66" s="682"/>
    </row>
    <row r="67" spans="1:15" ht="16.5" customHeight="1" x14ac:dyDescent="0.2">
      <c r="A67" s="682"/>
      <c r="B67" s="682"/>
      <c r="C67" s="682"/>
      <c r="D67" s="682"/>
      <c r="E67" s="682"/>
      <c r="F67" s="682"/>
      <c r="G67" s="682"/>
      <c r="H67" s="682"/>
      <c r="I67" s="947"/>
      <c r="J67" s="682"/>
      <c r="K67" s="682"/>
      <c r="L67" s="682"/>
      <c r="M67" s="682"/>
      <c r="N67" s="682"/>
      <c r="O67" s="682"/>
    </row>
    <row r="68" spans="1:15" ht="16.5" customHeight="1" x14ac:dyDescent="0.2">
      <c r="A68" s="682"/>
      <c r="B68" s="682"/>
      <c r="C68" s="682"/>
      <c r="D68" s="682"/>
      <c r="E68" s="682"/>
      <c r="F68" s="682"/>
      <c r="G68" s="682"/>
      <c r="H68" s="682"/>
      <c r="I68" s="947"/>
      <c r="J68" s="682"/>
      <c r="K68" s="682"/>
      <c r="L68" s="682"/>
      <c r="M68" s="682"/>
      <c r="N68" s="682"/>
      <c r="O68" s="682"/>
    </row>
    <row r="69" spans="1:15" ht="16.5" customHeight="1" x14ac:dyDescent="0.2">
      <c r="A69" s="682"/>
      <c r="B69" s="682"/>
      <c r="C69" s="682"/>
      <c r="D69" s="682"/>
      <c r="E69" s="682"/>
      <c r="F69" s="682"/>
      <c r="G69" s="682"/>
      <c r="H69" s="682"/>
      <c r="I69" s="947"/>
      <c r="J69" s="682"/>
      <c r="K69" s="682"/>
      <c r="L69" s="682"/>
      <c r="M69" s="682"/>
      <c r="N69" s="682"/>
      <c r="O69" s="682"/>
    </row>
    <row r="70" spans="1:15" ht="16.5" customHeight="1" x14ac:dyDescent="0.2">
      <c r="A70" s="682"/>
      <c r="B70" s="682"/>
      <c r="C70" s="682"/>
      <c r="D70" s="682"/>
      <c r="E70" s="682"/>
      <c r="F70" s="682"/>
      <c r="G70" s="682"/>
      <c r="H70" s="682"/>
      <c r="I70" s="947"/>
      <c r="J70" s="682"/>
      <c r="K70" s="682"/>
      <c r="L70" s="682"/>
      <c r="M70" s="682"/>
      <c r="N70" s="682"/>
      <c r="O70" s="682"/>
    </row>
    <row r="71" spans="1:15" ht="16.5" customHeight="1" x14ac:dyDescent="0.2">
      <c r="A71" s="682"/>
      <c r="B71" s="682"/>
      <c r="C71" s="682"/>
      <c r="D71" s="682"/>
      <c r="E71" s="682"/>
      <c r="F71" s="682"/>
      <c r="G71" s="682"/>
      <c r="H71" s="682"/>
      <c r="I71" s="947"/>
      <c r="J71" s="682"/>
      <c r="K71" s="682"/>
      <c r="L71" s="682"/>
      <c r="M71" s="682"/>
      <c r="N71" s="682"/>
      <c r="O71" s="682"/>
    </row>
    <row r="72" spans="1:15" ht="16.5" customHeight="1" x14ac:dyDescent="0.2">
      <c r="A72" s="682"/>
      <c r="B72" s="682"/>
      <c r="C72" s="682"/>
      <c r="D72" s="682"/>
      <c r="E72" s="682"/>
      <c r="F72" s="682"/>
      <c r="G72" s="682"/>
      <c r="H72" s="682"/>
      <c r="I72" s="947"/>
      <c r="J72" s="682"/>
      <c r="K72" s="682"/>
      <c r="L72" s="682"/>
      <c r="M72" s="682"/>
      <c r="N72" s="682"/>
      <c r="O72" s="682"/>
    </row>
    <row r="73" spans="1:15" ht="16.5" customHeight="1" x14ac:dyDescent="0.2">
      <c r="A73" s="682"/>
      <c r="B73" s="682"/>
      <c r="C73" s="682"/>
      <c r="D73" s="682"/>
      <c r="E73" s="682"/>
      <c r="F73" s="682"/>
      <c r="G73" s="682"/>
      <c r="H73" s="682"/>
      <c r="I73" s="947"/>
      <c r="J73" s="682"/>
      <c r="K73" s="682"/>
      <c r="L73" s="682"/>
      <c r="M73" s="682"/>
      <c r="N73" s="682"/>
      <c r="O73" s="682"/>
    </row>
    <row r="74" spans="1:15" ht="16.5" customHeight="1" x14ac:dyDescent="0.2">
      <c r="A74" s="682"/>
      <c r="B74" s="682"/>
      <c r="C74" s="682"/>
      <c r="D74" s="682"/>
      <c r="E74" s="682"/>
      <c r="F74" s="682"/>
      <c r="G74" s="682"/>
      <c r="H74" s="682"/>
      <c r="I74" s="947"/>
      <c r="J74" s="682"/>
      <c r="K74" s="682"/>
      <c r="L74" s="682"/>
      <c r="M74" s="682"/>
      <c r="N74" s="682"/>
      <c r="O74" s="682"/>
    </row>
    <row r="75" spans="1:15" ht="16.5" customHeight="1" x14ac:dyDescent="0.2">
      <c r="A75" s="682"/>
      <c r="B75" s="682"/>
      <c r="C75" s="682"/>
      <c r="D75" s="682"/>
      <c r="E75" s="682"/>
      <c r="F75" s="682"/>
      <c r="G75" s="682"/>
      <c r="H75" s="682"/>
      <c r="I75" s="947"/>
      <c r="J75" s="682"/>
      <c r="K75" s="682"/>
      <c r="L75" s="682"/>
      <c r="M75" s="682"/>
      <c r="N75" s="682"/>
      <c r="O75" s="682"/>
    </row>
    <row r="76" spans="1:15" ht="16.5" customHeight="1" x14ac:dyDescent="0.2">
      <c r="A76" s="682"/>
      <c r="B76" s="682"/>
      <c r="C76" s="682"/>
      <c r="D76" s="682"/>
      <c r="E76" s="682"/>
      <c r="F76" s="682"/>
      <c r="G76" s="682"/>
      <c r="H76" s="682"/>
      <c r="I76" s="947"/>
      <c r="J76" s="682"/>
      <c r="K76" s="682"/>
      <c r="L76" s="682"/>
      <c r="M76" s="682"/>
      <c r="N76" s="682"/>
      <c r="O76" s="682"/>
    </row>
    <row r="77" spans="1:15" ht="16.5" customHeight="1" x14ac:dyDescent="0.2">
      <c r="A77" s="682"/>
      <c r="B77" s="682"/>
      <c r="C77" s="682"/>
      <c r="D77" s="682"/>
      <c r="E77" s="682"/>
      <c r="F77" s="682"/>
      <c r="G77" s="682"/>
      <c r="H77" s="682"/>
      <c r="I77" s="947"/>
      <c r="J77" s="682"/>
      <c r="K77" s="682"/>
      <c r="L77" s="682"/>
      <c r="M77" s="682"/>
      <c r="N77" s="682"/>
      <c r="O77" s="682"/>
    </row>
    <row r="78" spans="1:15" ht="16.5" customHeight="1" x14ac:dyDescent="0.2">
      <c r="A78" s="682"/>
      <c r="B78" s="682"/>
      <c r="C78" s="682"/>
      <c r="D78" s="682"/>
      <c r="E78" s="682"/>
      <c r="F78" s="682"/>
      <c r="G78" s="682"/>
      <c r="H78" s="682"/>
      <c r="I78" s="947"/>
      <c r="J78" s="682"/>
      <c r="K78" s="682"/>
      <c r="L78" s="682"/>
      <c r="M78" s="682"/>
      <c r="N78" s="682"/>
      <c r="O78" s="682"/>
    </row>
    <row r="79" spans="1:15" ht="16.5" customHeight="1" x14ac:dyDescent="0.2">
      <c r="A79" s="682"/>
      <c r="B79" s="682"/>
      <c r="C79" s="682"/>
      <c r="D79" s="682"/>
      <c r="E79" s="682"/>
      <c r="F79" s="682"/>
      <c r="G79" s="682"/>
      <c r="H79" s="682"/>
      <c r="I79" s="947"/>
      <c r="J79" s="682"/>
      <c r="K79" s="682"/>
      <c r="L79" s="682"/>
      <c r="M79" s="682"/>
      <c r="N79" s="682"/>
      <c r="O79" s="682"/>
    </row>
    <row r="80" spans="1:15" ht="16.5" customHeight="1" x14ac:dyDescent="0.2">
      <c r="A80" s="682"/>
      <c r="B80" s="682"/>
      <c r="C80" s="682"/>
      <c r="D80" s="682"/>
      <c r="E80" s="682"/>
      <c r="F80" s="682"/>
      <c r="G80" s="682"/>
      <c r="H80" s="682"/>
      <c r="I80" s="947"/>
      <c r="J80" s="682"/>
      <c r="K80" s="682"/>
      <c r="L80" s="682"/>
      <c r="M80" s="682"/>
      <c r="N80" s="682"/>
      <c r="O80" s="682"/>
    </row>
    <row r="81" spans="1:15" ht="16.5" customHeight="1" x14ac:dyDescent="0.2">
      <c r="A81" s="682"/>
      <c r="B81" s="682"/>
      <c r="C81" s="682"/>
      <c r="D81" s="682"/>
      <c r="E81" s="682"/>
      <c r="F81" s="682"/>
      <c r="G81" s="682"/>
      <c r="H81" s="682"/>
      <c r="I81" s="947"/>
      <c r="J81" s="682"/>
      <c r="K81" s="682"/>
      <c r="L81" s="682"/>
      <c r="M81" s="682"/>
      <c r="N81" s="682"/>
      <c r="O81" s="682"/>
    </row>
    <row r="82" spans="1:15" ht="16.5" customHeight="1" x14ac:dyDescent="0.2">
      <c r="A82" s="682"/>
      <c r="B82" s="682"/>
      <c r="C82" s="682"/>
      <c r="D82" s="682"/>
      <c r="E82" s="682"/>
      <c r="F82" s="682"/>
      <c r="G82" s="682"/>
      <c r="H82" s="682"/>
      <c r="I82" s="947"/>
      <c r="J82" s="682"/>
      <c r="K82" s="682"/>
      <c r="L82" s="682"/>
      <c r="M82" s="682"/>
      <c r="N82" s="682"/>
      <c r="O82" s="682"/>
    </row>
    <row r="83" spans="1:15" ht="16.5" customHeight="1" x14ac:dyDescent="0.2">
      <c r="A83" s="682"/>
      <c r="B83" s="682"/>
      <c r="C83" s="682"/>
      <c r="D83" s="682"/>
      <c r="E83" s="682"/>
      <c r="F83" s="682"/>
      <c r="G83" s="682"/>
      <c r="H83" s="682"/>
      <c r="I83" s="947"/>
      <c r="J83" s="682"/>
      <c r="K83" s="682"/>
      <c r="L83" s="682"/>
      <c r="M83" s="682"/>
      <c r="N83" s="682"/>
      <c r="O83" s="682"/>
    </row>
    <row r="84" spans="1:15" ht="16.5" customHeight="1" x14ac:dyDescent="0.2">
      <c r="A84" s="682"/>
      <c r="B84" s="682"/>
      <c r="C84" s="682"/>
      <c r="D84" s="682"/>
      <c r="E84" s="682"/>
      <c r="F84" s="682"/>
      <c r="G84" s="682"/>
      <c r="H84" s="682"/>
      <c r="I84" s="947"/>
      <c r="J84" s="682"/>
      <c r="K84" s="682"/>
      <c r="L84" s="682"/>
      <c r="M84" s="682"/>
      <c r="N84" s="682"/>
      <c r="O84" s="682"/>
    </row>
    <row r="85" spans="1:15" ht="16.5" customHeight="1" x14ac:dyDescent="0.2">
      <c r="A85" s="682"/>
      <c r="B85" s="682"/>
      <c r="C85" s="682"/>
      <c r="D85" s="682"/>
      <c r="E85" s="682"/>
      <c r="F85" s="682"/>
      <c r="G85" s="682"/>
      <c r="H85" s="682"/>
      <c r="I85" s="947"/>
      <c r="J85" s="682"/>
      <c r="K85" s="682"/>
      <c r="L85" s="682"/>
      <c r="M85" s="682"/>
      <c r="N85" s="682"/>
      <c r="O85" s="682"/>
    </row>
    <row r="86" spans="1:15" ht="16.5" customHeight="1" x14ac:dyDescent="0.2">
      <c r="A86" s="682"/>
      <c r="B86" s="682"/>
      <c r="C86" s="682"/>
      <c r="D86" s="682"/>
      <c r="E86" s="682"/>
      <c r="F86" s="682"/>
      <c r="G86" s="682"/>
      <c r="H86" s="682"/>
      <c r="I86" s="947"/>
      <c r="J86" s="682"/>
      <c r="K86" s="682"/>
      <c r="L86" s="682"/>
      <c r="M86" s="682"/>
      <c r="N86" s="682"/>
      <c r="O86" s="682"/>
    </row>
    <row r="87" spans="1:15" ht="16.5" customHeight="1" x14ac:dyDescent="0.2">
      <c r="A87" s="682"/>
      <c r="B87" s="682"/>
      <c r="C87" s="682"/>
      <c r="D87" s="682"/>
      <c r="E87" s="682"/>
      <c r="F87" s="682"/>
      <c r="G87" s="682"/>
      <c r="H87" s="682"/>
      <c r="I87" s="947"/>
      <c r="J87" s="682"/>
      <c r="K87" s="682"/>
      <c r="L87" s="682"/>
      <c r="M87" s="682"/>
      <c r="N87" s="682"/>
      <c r="O87" s="682"/>
    </row>
    <row r="88" spans="1:15" ht="16.5" customHeight="1" x14ac:dyDescent="0.2">
      <c r="A88" s="682"/>
      <c r="B88" s="682"/>
      <c r="C88" s="682"/>
      <c r="D88" s="682"/>
      <c r="E88" s="682"/>
      <c r="F88" s="682"/>
      <c r="G88" s="682"/>
      <c r="H88" s="682"/>
      <c r="I88" s="947"/>
      <c r="J88" s="682"/>
      <c r="K88" s="682"/>
      <c r="L88" s="682"/>
      <c r="M88" s="682"/>
      <c r="N88" s="682"/>
      <c r="O88" s="682"/>
    </row>
    <row r="89" spans="1:15" ht="16.5" customHeight="1" x14ac:dyDescent="0.2">
      <c r="A89" s="682"/>
      <c r="B89" s="682"/>
      <c r="C89" s="682"/>
      <c r="D89" s="682"/>
      <c r="E89" s="682"/>
      <c r="F89" s="682"/>
      <c r="G89" s="682"/>
      <c r="H89" s="682"/>
      <c r="I89" s="947"/>
      <c r="J89" s="682"/>
      <c r="K89" s="682"/>
      <c r="L89" s="682"/>
      <c r="M89" s="682"/>
      <c r="N89" s="682"/>
      <c r="O89" s="682"/>
    </row>
    <row r="90" spans="1:15" ht="16.5" customHeight="1" x14ac:dyDescent="0.2">
      <c r="A90" s="682"/>
      <c r="B90" s="682"/>
      <c r="C90" s="682"/>
      <c r="D90" s="682"/>
      <c r="E90" s="682"/>
      <c r="F90" s="682"/>
      <c r="G90" s="682"/>
      <c r="H90" s="682"/>
      <c r="I90" s="947"/>
      <c r="J90" s="682"/>
      <c r="K90" s="682"/>
      <c r="L90" s="682"/>
      <c r="M90" s="682"/>
      <c r="N90" s="682"/>
      <c r="O90" s="682"/>
    </row>
    <row r="91" spans="1:15" ht="16.5" customHeight="1" x14ac:dyDescent="0.2">
      <c r="A91" s="682"/>
      <c r="B91" s="682"/>
      <c r="C91" s="682"/>
      <c r="D91" s="682"/>
      <c r="E91" s="682"/>
      <c r="F91" s="682"/>
      <c r="G91" s="682"/>
      <c r="H91" s="682"/>
      <c r="I91" s="947"/>
      <c r="J91" s="682"/>
      <c r="K91" s="682"/>
      <c r="L91" s="682"/>
      <c r="M91" s="682"/>
      <c r="N91" s="682"/>
      <c r="O91" s="682"/>
    </row>
    <row r="92" spans="1:15" ht="16.5" customHeight="1" x14ac:dyDescent="0.2">
      <c r="A92" s="682"/>
      <c r="B92" s="682"/>
      <c r="C92" s="682"/>
      <c r="D92" s="682"/>
      <c r="E92" s="682"/>
      <c r="F92" s="682"/>
      <c r="G92" s="682"/>
      <c r="H92" s="682"/>
      <c r="I92" s="947"/>
      <c r="J92" s="682"/>
      <c r="K92" s="682"/>
      <c r="L92" s="682"/>
      <c r="M92" s="682"/>
      <c r="N92" s="682"/>
      <c r="O92" s="682"/>
    </row>
    <row r="93" spans="1:15" ht="16.5" customHeight="1" x14ac:dyDescent="0.2">
      <c r="A93" s="682"/>
      <c r="B93" s="682"/>
      <c r="C93" s="682"/>
      <c r="D93" s="682"/>
      <c r="E93" s="682"/>
      <c r="F93" s="682"/>
      <c r="G93" s="682"/>
      <c r="H93" s="682"/>
      <c r="I93" s="947"/>
      <c r="J93" s="682"/>
      <c r="K93" s="682"/>
      <c r="L93" s="682"/>
      <c r="M93" s="682"/>
      <c r="N93" s="682"/>
      <c r="O93" s="682"/>
    </row>
    <row r="94" spans="1:15" ht="16.5" customHeight="1" x14ac:dyDescent="0.2">
      <c r="A94" s="682"/>
      <c r="B94" s="682"/>
      <c r="C94" s="682"/>
      <c r="D94" s="682"/>
      <c r="E94" s="682"/>
      <c r="F94" s="682"/>
      <c r="G94" s="682"/>
      <c r="H94" s="682"/>
      <c r="I94" s="947"/>
      <c r="J94" s="682"/>
      <c r="K94" s="682"/>
      <c r="L94" s="682"/>
      <c r="M94" s="682"/>
      <c r="N94" s="682"/>
      <c r="O94" s="682"/>
    </row>
    <row r="95" spans="1:15" ht="16.5" customHeight="1" x14ac:dyDescent="0.2">
      <c r="A95" s="682"/>
      <c r="B95" s="682"/>
      <c r="C95" s="682"/>
      <c r="D95" s="682"/>
      <c r="E95" s="682"/>
      <c r="F95" s="682"/>
      <c r="G95" s="682"/>
      <c r="H95" s="682"/>
      <c r="I95" s="947"/>
      <c r="J95" s="682"/>
      <c r="K95" s="682"/>
      <c r="L95" s="682"/>
      <c r="M95" s="682"/>
      <c r="N95" s="682"/>
      <c r="O95" s="682"/>
    </row>
    <row r="96" spans="1:15" ht="16.5" customHeight="1" x14ac:dyDescent="0.2">
      <c r="A96" s="682"/>
      <c r="B96" s="682"/>
      <c r="C96" s="682"/>
      <c r="D96" s="682"/>
      <c r="E96" s="682"/>
      <c r="F96" s="682"/>
      <c r="G96" s="682"/>
      <c r="H96" s="682"/>
      <c r="I96" s="947"/>
      <c r="J96" s="682"/>
      <c r="K96" s="682"/>
      <c r="L96" s="682"/>
      <c r="M96" s="682"/>
      <c r="N96" s="682"/>
      <c r="O96" s="682"/>
    </row>
    <row r="97" spans="1:15" ht="16.5" customHeight="1" x14ac:dyDescent="0.2">
      <c r="A97" s="682"/>
      <c r="B97" s="682"/>
      <c r="C97" s="682"/>
      <c r="D97" s="682"/>
      <c r="E97" s="682"/>
      <c r="F97" s="682"/>
      <c r="G97" s="682"/>
      <c r="H97" s="682"/>
      <c r="I97" s="947"/>
      <c r="J97" s="682"/>
      <c r="K97" s="682"/>
      <c r="L97" s="682"/>
      <c r="M97" s="682"/>
      <c r="N97" s="682"/>
      <c r="O97" s="682"/>
    </row>
    <row r="98" spans="1:15" ht="16.5" customHeight="1" x14ac:dyDescent="0.2">
      <c r="A98" s="682"/>
      <c r="B98" s="682"/>
      <c r="C98" s="682"/>
      <c r="D98" s="682"/>
      <c r="E98" s="682"/>
      <c r="F98" s="682"/>
      <c r="G98" s="682"/>
      <c r="H98" s="682"/>
      <c r="I98" s="947"/>
      <c r="J98" s="682"/>
      <c r="K98" s="682"/>
      <c r="L98" s="682"/>
      <c r="M98" s="682"/>
      <c r="N98" s="682"/>
      <c r="O98" s="682"/>
    </row>
    <row r="99" spans="1:15" ht="16.5" customHeight="1" x14ac:dyDescent="0.2">
      <c r="A99" s="682"/>
      <c r="B99" s="682"/>
      <c r="C99" s="682"/>
      <c r="D99" s="682"/>
      <c r="E99" s="682"/>
      <c r="F99" s="682"/>
      <c r="G99" s="682"/>
      <c r="H99" s="682"/>
      <c r="I99" s="947"/>
      <c r="J99" s="682"/>
      <c r="K99" s="682"/>
      <c r="L99" s="682"/>
      <c r="M99" s="682"/>
      <c r="N99" s="682"/>
      <c r="O99" s="682"/>
    </row>
    <row r="100" spans="1:15" ht="16.5" customHeight="1" x14ac:dyDescent="0.2">
      <c r="A100" s="682"/>
      <c r="B100" s="682"/>
      <c r="C100" s="682"/>
      <c r="D100" s="682"/>
      <c r="E100" s="682"/>
      <c r="F100" s="682"/>
      <c r="G100" s="682"/>
      <c r="H100" s="682"/>
      <c r="I100" s="947"/>
      <c r="J100" s="682"/>
      <c r="K100" s="682"/>
      <c r="L100" s="682"/>
      <c r="M100" s="682"/>
      <c r="N100" s="682"/>
      <c r="O100" s="682"/>
    </row>
    <row r="101" spans="1:15" ht="16.5" customHeight="1" x14ac:dyDescent="0.2">
      <c r="A101" s="10"/>
      <c r="B101" s="10"/>
      <c r="I101" s="1076"/>
    </row>
    <row r="102" spans="1:15" ht="16.5" customHeight="1" x14ac:dyDescent="0.2">
      <c r="A102" s="10"/>
      <c r="B102" s="10"/>
      <c r="I102" s="1076"/>
    </row>
    <row r="103" spans="1:15" ht="16.5" customHeight="1" x14ac:dyDescent="0.2">
      <c r="A103" s="10"/>
      <c r="B103" s="10"/>
      <c r="I103" s="1076"/>
    </row>
    <row r="104" spans="1:15" ht="16.5" customHeight="1" x14ac:dyDescent="0.2">
      <c r="A104" s="10"/>
      <c r="B104" s="10"/>
      <c r="I104" s="1076"/>
    </row>
    <row r="105" spans="1:15" ht="16.5" customHeight="1" x14ac:dyDescent="0.2">
      <c r="A105" s="10"/>
      <c r="B105" s="10"/>
      <c r="I105" s="1076"/>
    </row>
    <row r="106" spans="1:15" ht="16.5" customHeight="1" x14ac:dyDescent="0.2">
      <c r="A106" s="10"/>
      <c r="B106" s="10"/>
      <c r="I106" s="1076"/>
    </row>
    <row r="107" spans="1:15" ht="16.5" customHeight="1" x14ac:dyDescent="0.2">
      <c r="A107" s="10"/>
      <c r="B107" s="10"/>
      <c r="I107" s="1076"/>
    </row>
    <row r="108" spans="1:15" ht="16.5" customHeight="1" x14ac:dyDescent="0.2">
      <c r="A108" s="10"/>
      <c r="B108" s="10"/>
      <c r="I108" s="1076"/>
    </row>
    <row r="109" spans="1:15" ht="16.5" customHeight="1" x14ac:dyDescent="0.2">
      <c r="A109" s="10"/>
      <c r="B109" s="10"/>
      <c r="I109" s="1076"/>
    </row>
    <row r="110" spans="1:15" ht="16.5" customHeight="1" x14ac:dyDescent="0.2">
      <c r="A110" s="10"/>
      <c r="B110" s="10"/>
      <c r="I110" s="1076"/>
    </row>
    <row r="111" spans="1:15" ht="16.5" customHeight="1" x14ac:dyDescent="0.2">
      <c r="A111" s="10"/>
      <c r="B111" s="10"/>
      <c r="I111" s="1076"/>
    </row>
    <row r="112" spans="1:15" ht="16.5" customHeight="1" x14ac:dyDescent="0.2">
      <c r="A112" s="10"/>
      <c r="B112" s="10"/>
      <c r="I112" s="1076"/>
    </row>
    <row r="113" spans="1:9" ht="16.5" customHeight="1" x14ac:dyDescent="0.2">
      <c r="A113" s="10"/>
      <c r="B113" s="10"/>
      <c r="I113" s="1076"/>
    </row>
    <row r="114" spans="1:9" ht="16.5" customHeight="1" x14ac:dyDescent="0.2">
      <c r="A114" s="10"/>
      <c r="B114" s="10"/>
      <c r="I114" s="1076"/>
    </row>
    <row r="115" spans="1:9" ht="16.5" customHeight="1" x14ac:dyDescent="0.2">
      <c r="A115" s="10"/>
      <c r="B115" s="10"/>
      <c r="I115" s="1076"/>
    </row>
    <row r="116" spans="1:9" ht="16.5" customHeight="1" x14ac:dyDescent="0.2">
      <c r="A116" s="10"/>
      <c r="B116" s="10"/>
      <c r="I116" s="1076"/>
    </row>
    <row r="117" spans="1:9" ht="16.5" customHeight="1" x14ac:dyDescent="0.2">
      <c r="A117" s="10"/>
      <c r="B117" s="10"/>
      <c r="I117" s="1076"/>
    </row>
    <row r="118" spans="1:9" ht="16.5" customHeight="1" x14ac:dyDescent="0.2">
      <c r="A118" s="10"/>
      <c r="B118" s="10"/>
      <c r="I118" s="1076"/>
    </row>
    <row r="119" spans="1:9" ht="16.5" customHeight="1" x14ac:dyDescent="0.2">
      <c r="A119" s="10"/>
      <c r="B119" s="10"/>
      <c r="I119" s="1076"/>
    </row>
    <row r="120" spans="1:9" ht="16.5" customHeight="1" x14ac:dyDescent="0.2">
      <c r="A120" s="10"/>
      <c r="B120" s="10"/>
      <c r="I120" s="1076"/>
    </row>
    <row r="121" spans="1:9" ht="16.5" customHeight="1" x14ac:dyDescent="0.2">
      <c r="A121" s="10"/>
      <c r="B121" s="10"/>
      <c r="I121" s="1076"/>
    </row>
    <row r="122" spans="1:9" ht="16.5" customHeight="1" x14ac:dyDescent="0.2">
      <c r="A122" s="10"/>
      <c r="B122" s="10"/>
      <c r="I122" s="1076"/>
    </row>
    <row r="123" spans="1:9" ht="16.5" customHeight="1" x14ac:dyDescent="0.2">
      <c r="A123" s="10"/>
      <c r="B123" s="10"/>
      <c r="I123" s="1076"/>
    </row>
    <row r="124" spans="1:9" ht="16.5" customHeight="1" x14ac:dyDescent="0.2">
      <c r="A124" s="10"/>
      <c r="B124" s="10"/>
      <c r="I124" s="1076"/>
    </row>
    <row r="125" spans="1:9" ht="16.5" customHeight="1" x14ac:dyDescent="0.2">
      <c r="A125" s="10"/>
      <c r="B125" s="10"/>
      <c r="I125" s="1076"/>
    </row>
    <row r="126" spans="1:9" ht="16.5" customHeight="1" x14ac:dyDescent="0.2">
      <c r="A126" s="10"/>
      <c r="B126" s="10"/>
      <c r="I126" s="1076"/>
    </row>
    <row r="127" spans="1:9" ht="16.5" customHeight="1" x14ac:dyDescent="0.2">
      <c r="A127" s="10"/>
      <c r="B127" s="10"/>
      <c r="I127" s="1076"/>
    </row>
    <row r="128" spans="1:9" ht="16.5" customHeight="1" x14ac:dyDescent="0.2">
      <c r="A128" s="10"/>
      <c r="B128" s="10"/>
      <c r="I128" s="1076"/>
    </row>
    <row r="129" spans="1:9" ht="16.5" customHeight="1" x14ac:dyDescent="0.2">
      <c r="A129" s="10"/>
      <c r="B129" s="10"/>
      <c r="I129" s="1076"/>
    </row>
    <row r="130" spans="1:9" ht="16.5" customHeight="1" x14ac:dyDescent="0.2">
      <c r="A130" s="10"/>
      <c r="B130" s="10"/>
      <c r="I130" s="1076"/>
    </row>
    <row r="131" spans="1:9" ht="16.5" customHeight="1" x14ac:dyDescent="0.2">
      <c r="A131" s="10"/>
      <c r="B131" s="10"/>
      <c r="I131" s="1076"/>
    </row>
    <row r="132" spans="1:9" ht="16.5" customHeight="1" x14ac:dyDescent="0.2">
      <c r="A132" s="10"/>
      <c r="B132" s="10"/>
      <c r="I132" s="1076"/>
    </row>
    <row r="133" spans="1:9" ht="16.5" customHeight="1" x14ac:dyDescent="0.2">
      <c r="A133" s="10"/>
      <c r="B133" s="10"/>
      <c r="I133" s="1076"/>
    </row>
    <row r="134" spans="1:9" ht="16.5" customHeight="1" x14ac:dyDescent="0.2">
      <c r="A134" s="10"/>
      <c r="B134" s="10"/>
      <c r="I134" s="1076"/>
    </row>
    <row r="135" spans="1:9" ht="16.5" customHeight="1" x14ac:dyDescent="0.2">
      <c r="A135" s="10"/>
      <c r="B135" s="10"/>
      <c r="I135" s="1076"/>
    </row>
    <row r="136" spans="1:9" ht="16.5" customHeight="1" x14ac:dyDescent="0.2">
      <c r="A136" s="10"/>
      <c r="B136" s="10"/>
      <c r="I136" s="1076"/>
    </row>
    <row r="137" spans="1:9" ht="16.5" customHeight="1" x14ac:dyDescent="0.2">
      <c r="A137" s="10"/>
      <c r="B137" s="10"/>
      <c r="I137" s="1076"/>
    </row>
    <row r="138" spans="1:9" ht="16.5" customHeight="1" x14ac:dyDescent="0.2">
      <c r="A138" s="10"/>
      <c r="B138" s="10"/>
      <c r="I138" s="1076"/>
    </row>
    <row r="139" spans="1:9" ht="16.5" customHeight="1" x14ac:dyDescent="0.2">
      <c r="A139" s="10"/>
      <c r="B139" s="10"/>
      <c r="I139" s="1076"/>
    </row>
    <row r="140" spans="1:9" ht="16.5" customHeight="1" x14ac:dyDescent="0.2">
      <c r="A140" s="10"/>
      <c r="B140" s="10"/>
      <c r="I140" s="1076"/>
    </row>
    <row r="141" spans="1:9" ht="16.5" customHeight="1" x14ac:dyDescent="0.2">
      <c r="A141" s="10"/>
      <c r="B141" s="10"/>
      <c r="I141" s="1076"/>
    </row>
    <row r="142" spans="1:9" ht="16.5" customHeight="1" x14ac:dyDescent="0.2">
      <c r="A142" s="10"/>
      <c r="B142" s="10"/>
      <c r="I142" s="1076"/>
    </row>
    <row r="143" spans="1:9" ht="16.5" customHeight="1" x14ac:dyDescent="0.2">
      <c r="A143" s="10"/>
      <c r="B143" s="10"/>
      <c r="I143" s="1076"/>
    </row>
    <row r="144" spans="1:9" ht="16.5" customHeight="1" x14ac:dyDescent="0.2">
      <c r="A144" s="10"/>
      <c r="B144" s="10"/>
      <c r="I144" s="1076"/>
    </row>
    <row r="145" spans="1:9" ht="16.5" customHeight="1" x14ac:dyDescent="0.2">
      <c r="A145" s="10"/>
      <c r="B145" s="10"/>
      <c r="I145" s="1076"/>
    </row>
    <row r="146" spans="1:9" ht="16.5" customHeight="1" x14ac:dyDescent="0.2">
      <c r="A146" s="10"/>
      <c r="B146" s="10"/>
      <c r="I146" s="1076"/>
    </row>
    <row r="147" spans="1:9" ht="16.5" customHeight="1" x14ac:dyDescent="0.2">
      <c r="A147" s="10"/>
      <c r="B147" s="10"/>
      <c r="I147" s="1076"/>
    </row>
    <row r="148" spans="1:9" ht="16.5" customHeight="1" x14ac:dyDescent="0.2">
      <c r="A148" s="10"/>
      <c r="B148" s="10"/>
      <c r="I148" s="1076"/>
    </row>
    <row r="149" spans="1:9" ht="16.5" customHeight="1" x14ac:dyDescent="0.2">
      <c r="A149" s="10"/>
      <c r="B149" s="10"/>
      <c r="I149" s="1076"/>
    </row>
    <row r="150" spans="1:9" ht="16.5" customHeight="1" x14ac:dyDescent="0.2">
      <c r="A150" s="10"/>
      <c r="B150" s="10"/>
      <c r="I150" s="1076"/>
    </row>
    <row r="151" spans="1:9" ht="16.5" customHeight="1" x14ac:dyDescent="0.2">
      <c r="A151" s="10"/>
      <c r="B151" s="10"/>
      <c r="I151" s="1076"/>
    </row>
    <row r="152" spans="1:9" ht="16.5" customHeight="1" x14ac:dyDescent="0.2">
      <c r="A152" s="10"/>
      <c r="B152" s="10"/>
      <c r="I152" s="1076"/>
    </row>
    <row r="153" spans="1:9" ht="16.5" customHeight="1" x14ac:dyDescent="0.2">
      <c r="A153" s="10"/>
      <c r="B153" s="10"/>
      <c r="I153" s="1076"/>
    </row>
    <row r="154" spans="1:9" ht="16.5" customHeight="1" x14ac:dyDescent="0.2">
      <c r="A154" s="10"/>
      <c r="B154" s="10"/>
      <c r="I154" s="1076"/>
    </row>
    <row r="155" spans="1:9" ht="16.5" customHeight="1" x14ac:dyDescent="0.2">
      <c r="A155" s="10"/>
      <c r="B155" s="10"/>
      <c r="I155" s="1076"/>
    </row>
    <row r="156" spans="1:9" ht="16.5" customHeight="1" x14ac:dyDescent="0.2">
      <c r="A156" s="10"/>
      <c r="B156" s="10"/>
      <c r="I156" s="1076"/>
    </row>
    <row r="157" spans="1:9" ht="16.5" customHeight="1" x14ac:dyDescent="0.2">
      <c r="A157" s="10"/>
      <c r="B157" s="10"/>
      <c r="I157" s="1076"/>
    </row>
    <row r="158" spans="1:9" ht="16.5" customHeight="1" x14ac:dyDescent="0.2">
      <c r="A158" s="10"/>
      <c r="B158" s="10"/>
      <c r="I158" s="1076"/>
    </row>
    <row r="159" spans="1:9" ht="16.5" customHeight="1" x14ac:dyDescent="0.2">
      <c r="A159" s="10"/>
      <c r="B159" s="10"/>
      <c r="I159" s="1076"/>
    </row>
    <row r="160" spans="1:9" ht="16.5" customHeight="1" x14ac:dyDescent="0.2">
      <c r="A160" s="10"/>
      <c r="B160" s="10"/>
      <c r="I160" s="1076"/>
    </row>
    <row r="161" spans="1:9" ht="16.5" customHeight="1" x14ac:dyDescent="0.2">
      <c r="A161" s="10"/>
      <c r="B161" s="10"/>
      <c r="I161" s="1076"/>
    </row>
    <row r="162" spans="1:9" ht="16.5" customHeight="1" x14ac:dyDescent="0.2">
      <c r="A162" s="10"/>
      <c r="B162" s="10"/>
      <c r="I162" s="1076"/>
    </row>
    <row r="163" spans="1:9" ht="16.5" customHeight="1" x14ac:dyDescent="0.2">
      <c r="A163" s="10"/>
      <c r="B163" s="10"/>
      <c r="I163" s="1076"/>
    </row>
    <row r="164" spans="1:9" ht="16.5" customHeight="1" x14ac:dyDescent="0.2">
      <c r="A164" s="10"/>
      <c r="B164" s="10"/>
      <c r="I164" s="1076"/>
    </row>
    <row r="165" spans="1:9" ht="16.5" customHeight="1" x14ac:dyDescent="0.2">
      <c r="A165" s="10"/>
      <c r="B165" s="10"/>
      <c r="I165" s="1076"/>
    </row>
    <row r="166" spans="1:9" ht="16.5" customHeight="1" x14ac:dyDescent="0.2">
      <c r="A166" s="10"/>
      <c r="B166" s="10"/>
      <c r="I166" s="1076"/>
    </row>
    <row r="167" spans="1:9" ht="16.5" customHeight="1" x14ac:dyDescent="0.2">
      <c r="A167" s="10"/>
      <c r="B167" s="10"/>
      <c r="I167" s="1076"/>
    </row>
    <row r="168" spans="1:9" ht="16.5" customHeight="1" x14ac:dyDescent="0.2">
      <c r="A168" s="10"/>
      <c r="B168" s="10"/>
      <c r="I168" s="1076"/>
    </row>
    <row r="169" spans="1:9" ht="16.5" customHeight="1" x14ac:dyDescent="0.2">
      <c r="A169" s="10"/>
      <c r="B169" s="10"/>
      <c r="I169" s="1076"/>
    </row>
    <row r="170" spans="1:9" ht="16.5" customHeight="1" x14ac:dyDescent="0.2">
      <c r="A170" s="10"/>
      <c r="B170" s="10"/>
      <c r="I170" s="1076"/>
    </row>
    <row r="171" spans="1:9" ht="16.5" customHeight="1" x14ac:dyDescent="0.2">
      <c r="A171" s="10"/>
      <c r="B171" s="10"/>
      <c r="I171" s="1076"/>
    </row>
    <row r="172" spans="1:9" ht="16.5" customHeight="1" x14ac:dyDescent="0.2">
      <c r="A172" s="10"/>
      <c r="B172" s="10"/>
      <c r="I172" s="1076"/>
    </row>
    <row r="173" spans="1:9" ht="16.5" customHeight="1" x14ac:dyDescent="0.2">
      <c r="A173" s="10"/>
      <c r="B173" s="10"/>
      <c r="I173" s="1076"/>
    </row>
    <row r="174" spans="1:9" ht="16.5" customHeight="1" x14ac:dyDescent="0.2">
      <c r="A174" s="10"/>
      <c r="B174" s="10"/>
      <c r="I174" s="1076"/>
    </row>
    <row r="175" spans="1:9" ht="16.5" customHeight="1" x14ac:dyDescent="0.2">
      <c r="A175" s="10"/>
      <c r="B175" s="10"/>
      <c r="I175" s="1076"/>
    </row>
    <row r="176" spans="1:9" ht="16.5" customHeight="1" x14ac:dyDescent="0.2">
      <c r="A176" s="10"/>
      <c r="B176" s="10"/>
      <c r="I176" s="1076"/>
    </row>
    <row r="177" spans="1:9" ht="16.5" customHeight="1" x14ac:dyDescent="0.2">
      <c r="A177" s="10"/>
      <c r="B177" s="10"/>
      <c r="I177" s="1076"/>
    </row>
    <row r="178" spans="1:9" ht="16.5" customHeight="1" x14ac:dyDescent="0.2">
      <c r="A178" s="10"/>
      <c r="B178" s="10"/>
      <c r="I178" s="1076"/>
    </row>
    <row r="179" spans="1:9" ht="16.5" customHeight="1" x14ac:dyDescent="0.2">
      <c r="A179" s="10"/>
      <c r="B179" s="10"/>
      <c r="I179" s="1076"/>
    </row>
    <row r="180" spans="1:9" ht="16.5" customHeight="1" x14ac:dyDescent="0.2">
      <c r="A180" s="10"/>
      <c r="B180" s="10"/>
      <c r="I180" s="1076"/>
    </row>
    <row r="181" spans="1:9" ht="16.5" customHeight="1" x14ac:dyDescent="0.2">
      <c r="A181" s="10"/>
      <c r="B181" s="10"/>
      <c r="I181" s="1076"/>
    </row>
    <row r="182" spans="1:9" ht="16.5" customHeight="1" x14ac:dyDescent="0.2">
      <c r="A182" s="10"/>
      <c r="B182" s="10"/>
      <c r="I182" s="1076"/>
    </row>
    <row r="183" spans="1:9" ht="16.5" customHeight="1" x14ac:dyDescent="0.2">
      <c r="A183" s="10"/>
      <c r="B183" s="10"/>
      <c r="I183" s="1076"/>
    </row>
    <row r="184" spans="1:9" ht="16.5" customHeight="1" x14ac:dyDescent="0.2">
      <c r="A184" s="10"/>
      <c r="B184" s="10"/>
      <c r="I184" s="1076"/>
    </row>
    <row r="185" spans="1:9" ht="16.5" customHeight="1" x14ac:dyDescent="0.2">
      <c r="A185" s="10"/>
      <c r="B185" s="10"/>
      <c r="I185" s="1076"/>
    </row>
    <row r="186" spans="1:9" ht="16.5" customHeight="1" x14ac:dyDescent="0.2">
      <c r="A186" s="10"/>
      <c r="B186" s="10"/>
      <c r="I186" s="1076"/>
    </row>
    <row r="187" spans="1:9" ht="16.5" customHeight="1" x14ac:dyDescent="0.2">
      <c r="A187" s="10"/>
      <c r="B187" s="10"/>
      <c r="I187" s="1076"/>
    </row>
    <row r="188" spans="1:9" ht="16.5" customHeight="1" x14ac:dyDescent="0.2">
      <c r="A188" s="10"/>
      <c r="B188" s="10"/>
      <c r="I188" s="1076"/>
    </row>
    <row r="189" spans="1:9" ht="16.5" customHeight="1" x14ac:dyDescent="0.2">
      <c r="A189" s="10"/>
      <c r="B189" s="10"/>
      <c r="I189" s="1076"/>
    </row>
    <row r="190" spans="1:9" ht="16.5" customHeight="1" x14ac:dyDescent="0.2">
      <c r="A190" s="10"/>
      <c r="B190" s="10"/>
      <c r="I190" s="1076"/>
    </row>
    <row r="191" spans="1:9" ht="16.5" customHeight="1" x14ac:dyDescent="0.2">
      <c r="A191" s="10"/>
      <c r="B191" s="10"/>
      <c r="I191" s="1076"/>
    </row>
    <row r="192" spans="1:9" ht="16.5" customHeight="1" x14ac:dyDescent="0.2">
      <c r="A192" s="10"/>
      <c r="B192" s="10"/>
      <c r="I192" s="1076"/>
    </row>
    <row r="193" spans="1:9" ht="16.5" customHeight="1" x14ac:dyDescent="0.2">
      <c r="A193" s="10"/>
      <c r="B193" s="10"/>
      <c r="I193" s="1076"/>
    </row>
    <row r="194" spans="1:9" ht="16.5" customHeight="1" x14ac:dyDescent="0.2">
      <c r="A194" s="10"/>
      <c r="B194" s="10"/>
      <c r="I194" s="1076"/>
    </row>
    <row r="195" spans="1:9" ht="16.5" customHeight="1" x14ac:dyDescent="0.2">
      <c r="A195" s="10"/>
      <c r="B195" s="10"/>
      <c r="I195" s="1076"/>
    </row>
    <row r="196" spans="1:9" ht="16.5" customHeight="1" x14ac:dyDescent="0.2">
      <c r="A196" s="10"/>
      <c r="B196" s="10"/>
      <c r="I196" s="1076"/>
    </row>
    <row r="197" spans="1:9" ht="16.5" customHeight="1" x14ac:dyDescent="0.2">
      <c r="A197" s="10"/>
      <c r="B197" s="10"/>
      <c r="I197" s="1076"/>
    </row>
    <row r="198" spans="1:9" ht="16.5" customHeight="1" x14ac:dyDescent="0.2">
      <c r="A198" s="10"/>
      <c r="B198" s="10"/>
      <c r="I198" s="1076"/>
    </row>
    <row r="199" spans="1:9" ht="16.5" customHeight="1" x14ac:dyDescent="0.2">
      <c r="A199" s="10"/>
      <c r="B199" s="10"/>
      <c r="I199" s="1076"/>
    </row>
    <row r="200" spans="1:9" ht="16.5" customHeight="1" x14ac:dyDescent="0.2">
      <c r="A200" s="10"/>
      <c r="B200" s="10"/>
      <c r="I200" s="1076"/>
    </row>
    <row r="201" spans="1:9" ht="16.5" customHeight="1" x14ac:dyDescent="0.2">
      <c r="A201" s="10"/>
      <c r="B201" s="10"/>
      <c r="I201" s="1076"/>
    </row>
    <row r="202" spans="1:9" ht="16.5" customHeight="1" x14ac:dyDescent="0.2">
      <c r="A202" s="10"/>
      <c r="B202" s="10"/>
      <c r="I202" s="1076"/>
    </row>
    <row r="203" spans="1:9" ht="16.5" customHeight="1" x14ac:dyDescent="0.2">
      <c r="A203" s="10"/>
      <c r="B203" s="10"/>
      <c r="I203" s="1076"/>
    </row>
    <row r="204" spans="1:9" ht="16.5" customHeight="1" x14ac:dyDescent="0.2">
      <c r="A204" s="10"/>
      <c r="B204" s="10"/>
      <c r="I204" s="1076"/>
    </row>
    <row r="205" spans="1:9" ht="16.5" customHeight="1" x14ac:dyDescent="0.2">
      <c r="A205" s="10"/>
      <c r="B205" s="10"/>
      <c r="I205" s="1076"/>
    </row>
    <row r="206" spans="1:9" ht="16.5" customHeight="1" x14ac:dyDescent="0.2">
      <c r="A206" s="10"/>
      <c r="B206" s="10"/>
      <c r="I206" s="1076"/>
    </row>
    <row r="207" spans="1:9" ht="16.5" customHeight="1" x14ac:dyDescent="0.2">
      <c r="A207" s="10"/>
      <c r="B207" s="10"/>
      <c r="I207" s="1076"/>
    </row>
    <row r="208" spans="1:9" ht="16.5" customHeight="1" x14ac:dyDescent="0.2">
      <c r="A208" s="10"/>
      <c r="B208" s="10"/>
      <c r="I208" s="1076"/>
    </row>
    <row r="209" spans="1:9" ht="16.5" customHeight="1" x14ac:dyDescent="0.2">
      <c r="A209" s="10"/>
      <c r="B209" s="10"/>
      <c r="I209" s="1076"/>
    </row>
    <row r="210" spans="1:9" ht="16.5" customHeight="1" x14ac:dyDescent="0.2">
      <c r="A210" s="10"/>
      <c r="B210" s="10"/>
      <c r="I210" s="1076"/>
    </row>
    <row r="211" spans="1:9" ht="16.5" customHeight="1" x14ac:dyDescent="0.2">
      <c r="A211" s="10"/>
      <c r="B211" s="10"/>
      <c r="I211" s="1076"/>
    </row>
    <row r="212" spans="1:9" ht="16.5" customHeight="1" x14ac:dyDescent="0.2">
      <c r="A212" s="10"/>
      <c r="B212" s="10"/>
      <c r="I212" s="1076"/>
    </row>
    <row r="213" spans="1:9" ht="16.5" customHeight="1" x14ac:dyDescent="0.2">
      <c r="A213" s="10"/>
      <c r="B213" s="10"/>
      <c r="I213" s="1076"/>
    </row>
    <row r="214" spans="1:9" ht="16.5" customHeight="1" x14ac:dyDescent="0.2">
      <c r="A214" s="10"/>
      <c r="B214" s="10"/>
      <c r="I214" s="1076"/>
    </row>
    <row r="215" spans="1:9" ht="16.5" customHeight="1" x14ac:dyDescent="0.2">
      <c r="A215" s="10"/>
      <c r="B215" s="10"/>
      <c r="I215" s="1076"/>
    </row>
    <row r="216" spans="1:9" ht="16.5" customHeight="1" x14ac:dyDescent="0.2">
      <c r="A216" s="10"/>
      <c r="B216" s="10"/>
      <c r="I216" s="1076"/>
    </row>
    <row r="217" spans="1:9" ht="16.5" customHeight="1" x14ac:dyDescent="0.2">
      <c r="A217" s="10"/>
      <c r="B217" s="10"/>
      <c r="I217" s="1076"/>
    </row>
    <row r="218" spans="1:9" ht="16.5" customHeight="1" x14ac:dyDescent="0.2">
      <c r="A218" s="10"/>
      <c r="B218" s="10"/>
      <c r="I218" s="1076"/>
    </row>
    <row r="219" spans="1:9" ht="16.5" customHeight="1" x14ac:dyDescent="0.2">
      <c r="A219" s="10"/>
      <c r="B219" s="10"/>
      <c r="I219" s="1076"/>
    </row>
    <row r="220" spans="1:9" ht="16.5" customHeight="1" x14ac:dyDescent="0.2">
      <c r="A220" s="10"/>
      <c r="B220" s="10"/>
      <c r="I220" s="1076"/>
    </row>
    <row r="221" spans="1:9" ht="16.5" customHeight="1" x14ac:dyDescent="0.2">
      <c r="A221" s="10"/>
      <c r="B221" s="10"/>
      <c r="I221" s="1076"/>
    </row>
    <row r="222" spans="1:9" ht="16.5" customHeight="1" x14ac:dyDescent="0.2">
      <c r="A222" s="10"/>
      <c r="B222" s="10"/>
      <c r="I222" s="1076"/>
    </row>
    <row r="223" spans="1:9" ht="16.5" customHeight="1" x14ac:dyDescent="0.2">
      <c r="A223" s="10"/>
      <c r="B223" s="10"/>
      <c r="I223" s="1076"/>
    </row>
    <row r="224" spans="1:9" ht="16.5" customHeight="1" x14ac:dyDescent="0.2">
      <c r="A224" s="10"/>
      <c r="B224" s="10"/>
      <c r="I224" s="1076"/>
    </row>
    <row r="225" spans="1:9" ht="16.5" customHeight="1" x14ac:dyDescent="0.2">
      <c r="A225" s="10"/>
      <c r="B225" s="10"/>
      <c r="I225" s="1076"/>
    </row>
    <row r="226" spans="1:9" ht="16.5" customHeight="1" x14ac:dyDescent="0.2">
      <c r="A226" s="10"/>
      <c r="B226" s="10"/>
      <c r="I226" s="1076"/>
    </row>
    <row r="227" spans="1:9" ht="16.5" customHeight="1" x14ac:dyDescent="0.2">
      <c r="A227" s="10"/>
      <c r="B227" s="10"/>
      <c r="I227" s="1076"/>
    </row>
    <row r="228" spans="1:9" ht="16.5" customHeight="1" x14ac:dyDescent="0.2">
      <c r="A228" s="10"/>
      <c r="B228" s="10"/>
      <c r="I228" s="1076"/>
    </row>
    <row r="229" spans="1:9" ht="16.5" customHeight="1" x14ac:dyDescent="0.2">
      <c r="A229" s="10"/>
      <c r="B229" s="10"/>
      <c r="I229" s="1076"/>
    </row>
    <row r="230" spans="1:9" ht="16.5" customHeight="1" x14ac:dyDescent="0.2">
      <c r="A230" s="10"/>
      <c r="B230" s="10"/>
      <c r="I230" s="1076"/>
    </row>
    <row r="231" spans="1:9" ht="16.5" customHeight="1" x14ac:dyDescent="0.2">
      <c r="A231" s="10"/>
      <c r="B231" s="10"/>
      <c r="I231" s="1076"/>
    </row>
    <row r="232" spans="1:9" ht="16.5" customHeight="1" x14ac:dyDescent="0.2">
      <c r="A232" s="10"/>
      <c r="B232" s="10"/>
      <c r="I232" s="1076"/>
    </row>
    <row r="233" spans="1:9" ht="16.5" customHeight="1" x14ac:dyDescent="0.2">
      <c r="A233" s="10"/>
      <c r="B233" s="10"/>
      <c r="I233" s="1076"/>
    </row>
    <row r="234" spans="1:9" ht="16.5" customHeight="1" x14ac:dyDescent="0.2">
      <c r="A234" s="10"/>
      <c r="B234" s="10"/>
      <c r="I234" s="1076"/>
    </row>
    <row r="235" spans="1:9" ht="16.5" customHeight="1" x14ac:dyDescent="0.2">
      <c r="A235" s="10"/>
      <c r="B235" s="10"/>
      <c r="I235" s="1076"/>
    </row>
    <row r="236" spans="1:9" ht="16.5" customHeight="1" x14ac:dyDescent="0.2">
      <c r="A236" s="10"/>
      <c r="B236" s="10"/>
      <c r="I236" s="1076"/>
    </row>
    <row r="237" spans="1:9" ht="16.5" customHeight="1" x14ac:dyDescent="0.2">
      <c r="A237" s="10"/>
      <c r="B237" s="10"/>
      <c r="I237" s="1076"/>
    </row>
    <row r="238" spans="1:9" ht="16.5" customHeight="1" x14ac:dyDescent="0.2">
      <c r="A238" s="10"/>
      <c r="B238" s="10"/>
      <c r="I238" s="1076"/>
    </row>
    <row r="239" spans="1:9" ht="16.5" customHeight="1" x14ac:dyDescent="0.2">
      <c r="A239" s="10"/>
      <c r="B239" s="10"/>
      <c r="I239" s="1076"/>
    </row>
    <row r="240" spans="1:9" ht="16.5" customHeight="1" x14ac:dyDescent="0.2">
      <c r="A240" s="10"/>
      <c r="B240" s="10"/>
      <c r="I240" s="1076"/>
    </row>
    <row r="241" spans="1:9" ht="16.5" customHeight="1" x14ac:dyDescent="0.2">
      <c r="A241" s="10"/>
      <c r="B241" s="10"/>
      <c r="I241" s="1076"/>
    </row>
    <row r="242" spans="1:9" ht="16.5" customHeight="1" x14ac:dyDescent="0.2">
      <c r="A242" s="10"/>
      <c r="B242" s="10"/>
      <c r="I242" s="1076"/>
    </row>
  </sheetData>
  <mergeCells count="38">
    <mergeCell ref="A52:G52"/>
    <mergeCell ref="A53:G53"/>
    <mergeCell ref="B18:E18"/>
    <mergeCell ref="B47:G47"/>
    <mergeCell ref="B34:G34"/>
    <mergeCell ref="B35:G35"/>
    <mergeCell ref="B36:G36"/>
    <mergeCell ref="B37:G37"/>
    <mergeCell ref="B39:G39"/>
    <mergeCell ref="B40:G40"/>
    <mergeCell ref="B41:G41"/>
    <mergeCell ref="B42:G42"/>
    <mergeCell ref="I47:M47"/>
    <mergeCell ref="A48:G48"/>
    <mergeCell ref="A49:G49"/>
    <mergeCell ref="A50:G50"/>
    <mergeCell ref="A51:G51"/>
    <mergeCell ref="I44:M44"/>
    <mergeCell ref="B45:G45"/>
    <mergeCell ref="I45:M45"/>
    <mergeCell ref="B46:G46"/>
    <mergeCell ref="I46:M46"/>
    <mergeCell ref="B44:G44"/>
    <mergeCell ref="I43:M43"/>
    <mergeCell ref="B38:G38"/>
    <mergeCell ref="I18:M18"/>
    <mergeCell ref="A19:G19"/>
    <mergeCell ref="H19:M19"/>
    <mergeCell ref="A26:G26"/>
    <mergeCell ref="H26:M26"/>
    <mergeCell ref="B27:G27"/>
    <mergeCell ref="H27:M27"/>
    <mergeCell ref="I42:M42"/>
    <mergeCell ref="A32:G32"/>
    <mergeCell ref="H32:M32"/>
    <mergeCell ref="B33:G33"/>
    <mergeCell ref="H33:M33"/>
    <mergeCell ref="B43:G43"/>
  </mergeCells>
  <phoneticPr fontId="137" type="noConversion"/>
  <printOptions horizontalCentered="1"/>
  <pageMargins left="0.15" right="0.15" top="0.25" bottom="0.25" header="0.25" footer="0.25"/>
  <ignoredErrors>
    <ignoredError sqref="C16:G16 C17:G17" formulaRange="1"/>
    <ignoredError sqref="J15:L15 M15" formula="1"/>
  </ignoredErrors>
  <drawing r:id="rId1"/>
  <legacyDrawing r:id="rId2"/>
  <extLst>
    <ext xmlns:mx="http://schemas.microsoft.com/office/mac/excel/2008/main" uri="http://schemas.microsoft.com/office/mac/excel/2008/main">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0080"/>
  </sheetPr>
  <dimension ref="A1:AG97"/>
  <sheetViews>
    <sheetView zoomScaleSheetLayoutView="100" workbookViewId="0">
      <selection activeCell="I16" sqref="I16"/>
    </sheetView>
  </sheetViews>
  <sheetFormatPr defaultColWidth="9.140625" defaultRowHeight="16.5" customHeight="1" x14ac:dyDescent="0.2"/>
  <cols>
    <col min="1" max="1" width="42.42578125" style="31" customWidth="1"/>
    <col min="2" max="8" width="7.5703125" style="31" customWidth="1"/>
    <col min="9" max="9" width="20.5703125" style="31" customWidth="1"/>
    <col min="10" max="10" width="49.5703125" style="31" customWidth="1"/>
    <col min="11" max="26" width="8.5703125" style="682" customWidth="1"/>
    <col min="27" max="256" width="8.5703125" style="31" customWidth="1"/>
    <col min="257" max="16384" width="9.140625" style="31"/>
  </cols>
  <sheetData>
    <row r="1" spans="1:26" s="1169" customFormat="1" ht="16.5" customHeight="1" x14ac:dyDescent="0.2">
      <c r="A1" s="1169" t="s">
        <v>1075</v>
      </c>
      <c r="B1" s="1169" t="s">
        <v>1075</v>
      </c>
      <c r="C1" s="1169" t="s">
        <v>1075</v>
      </c>
      <c r="D1" s="1169" t="s">
        <v>1075</v>
      </c>
      <c r="E1" s="1169" t="s">
        <v>1075</v>
      </c>
      <c r="F1" s="1169" t="s">
        <v>1075</v>
      </c>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36" customFormat="1" ht="16.5" customHeight="1" x14ac:dyDescent="0.2">
      <c r="K2" s="1169"/>
      <c r="L2" s="1169"/>
      <c r="M2" s="1169"/>
      <c r="N2" s="1169"/>
      <c r="O2" s="1169"/>
      <c r="P2" s="1169"/>
      <c r="Q2" s="1169"/>
      <c r="R2" s="1169"/>
      <c r="S2" s="1169"/>
      <c r="T2" s="1169"/>
      <c r="U2" s="1169"/>
      <c r="V2" s="1169"/>
      <c r="W2" s="1169"/>
      <c r="X2" s="1169"/>
      <c r="Y2" s="1169"/>
      <c r="Z2" s="1169"/>
    </row>
    <row r="3" spans="1:26" s="36" customFormat="1" ht="16.5" customHeight="1" x14ac:dyDescent="0.2">
      <c r="K3" s="1169"/>
      <c r="L3" s="1169"/>
      <c r="M3" s="1169"/>
      <c r="N3" s="1169"/>
      <c r="O3" s="1169"/>
      <c r="P3" s="1169"/>
      <c r="Q3" s="1169"/>
      <c r="R3" s="1169"/>
      <c r="S3" s="1169"/>
      <c r="T3" s="1169"/>
      <c r="U3" s="1169"/>
      <c r="V3" s="1169"/>
      <c r="W3" s="1169"/>
      <c r="X3" s="1169"/>
      <c r="Y3" s="1169"/>
      <c r="Z3" s="1169"/>
    </row>
    <row r="4" spans="1:26" s="422" customFormat="1" ht="16.5" customHeight="1" x14ac:dyDescent="0.2">
      <c r="A4" s="422" t="s">
        <v>612</v>
      </c>
      <c r="K4" s="1214"/>
      <c r="L4" s="1214"/>
      <c r="M4" s="1214"/>
      <c r="N4" s="1214"/>
      <c r="O4" s="1214"/>
      <c r="P4" s="1214"/>
      <c r="Q4" s="1214"/>
      <c r="R4" s="1214"/>
      <c r="S4" s="1214"/>
      <c r="T4" s="1214"/>
      <c r="U4" s="1214"/>
      <c r="V4" s="1214"/>
      <c r="W4" s="1214"/>
      <c r="X4" s="1214"/>
      <c r="Y4" s="1214"/>
      <c r="Z4" s="1214"/>
    </row>
    <row r="5" spans="1:26" s="87" customFormat="1" ht="16.5" customHeight="1" x14ac:dyDescent="0.2">
      <c r="K5" s="682"/>
      <c r="L5" s="682"/>
      <c r="M5" s="682"/>
      <c r="N5" s="682"/>
      <c r="O5" s="682"/>
      <c r="P5" s="682"/>
      <c r="Q5" s="682"/>
      <c r="R5" s="682"/>
      <c r="S5" s="682"/>
      <c r="T5" s="682"/>
      <c r="U5" s="682"/>
      <c r="V5" s="682"/>
      <c r="W5" s="682"/>
      <c r="X5" s="682"/>
      <c r="Y5" s="682"/>
      <c r="Z5" s="682"/>
    </row>
    <row r="6" spans="1:26" s="32" customFormat="1" ht="16.5" customHeight="1" x14ac:dyDescent="0.2">
      <c r="A6" s="96"/>
      <c r="B6" s="814" t="s">
        <v>617</v>
      </c>
      <c r="C6" s="814"/>
      <c r="D6" s="814"/>
      <c r="E6" s="814"/>
      <c r="F6" s="814"/>
      <c r="G6" s="814"/>
      <c r="H6" s="96"/>
      <c r="I6" s="96"/>
      <c r="J6" s="96"/>
      <c r="K6" s="718"/>
      <c r="L6" s="718"/>
      <c r="M6" s="718"/>
      <c r="N6" s="718"/>
      <c r="O6" s="718"/>
      <c r="P6" s="718"/>
      <c r="Q6" s="718"/>
      <c r="R6" s="718"/>
      <c r="S6" s="718"/>
      <c r="T6" s="718"/>
      <c r="U6" s="718"/>
      <c r="V6" s="718"/>
      <c r="W6" s="718"/>
      <c r="X6" s="718"/>
      <c r="Y6" s="718"/>
      <c r="Z6" s="718"/>
    </row>
    <row r="7" spans="1:26" s="32" customFormat="1" ht="16.5" customHeight="1" x14ac:dyDescent="0.2">
      <c r="A7" s="96"/>
      <c r="B7" s="814" t="s">
        <v>616</v>
      </c>
      <c r="C7" s="814"/>
      <c r="D7" s="814"/>
      <c r="E7" s="814"/>
      <c r="F7" s="814"/>
      <c r="G7" s="814"/>
      <c r="H7" s="96"/>
      <c r="I7" s="96"/>
      <c r="J7" s="96"/>
      <c r="K7" s="718"/>
      <c r="L7" s="718"/>
      <c r="M7" s="718"/>
      <c r="N7" s="718"/>
      <c r="O7" s="718"/>
      <c r="P7" s="718"/>
      <c r="Q7" s="718"/>
      <c r="R7" s="718"/>
      <c r="S7" s="718"/>
      <c r="T7" s="718"/>
      <c r="U7" s="718"/>
      <c r="V7" s="718"/>
      <c r="W7" s="718"/>
      <c r="X7" s="718"/>
      <c r="Y7" s="718"/>
      <c r="Z7" s="718"/>
    </row>
    <row r="8" spans="1:26" s="32" customFormat="1" ht="16.5" customHeight="1" x14ac:dyDescent="0.2">
      <c r="A8" s="96"/>
      <c r="B8" s="1113">
        <f>D9</f>
        <v>2012</v>
      </c>
      <c r="C8" s="1114"/>
      <c r="D8" s="1114"/>
      <c r="E8" s="1115">
        <f>G9</f>
        <v>2015</v>
      </c>
      <c r="F8" s="1116"/>
      <c r="G8" s="1116"/>
      <c r="H8" s="96"/>
      <c r="I8" s="96"/>
      <c r="J8" s="96"/>
      <c r="K8" s="718"/>
      <c r="L8" s="718"/>
      <c r="M8" s="718"/>
      <c r="N8" s="718"/>
      <c r="O8" s="718"/>
      <c r="P8" s="718"/>
      <c r="Q8" s="718"/>
      <c r="R8" s="718"/>
      <c r="S8" s="718"/>
      <c r="T8" s="718"/>
      <c r="U8" s="718"/>
      <c r="V8" s="718"/>
      <c r="W8" s="718"/>
      <c r="X8" s="718"/>
      <c r="Y8" s="718"/>
      <c r="Z8" s="718"/>
    </row>
    <row r="9" spans="1:26" ht="16.5" customHeight="1" x14ac:dyDescent="0.2">
      <c r="A9" s="601"/>
      <c r="B9" s="623">
        <f>'Common-size FS'!B9</f>
        <v>2010</v>
      </c>
      <c r="C9" s="623">
        <f>B9+1</f>
        <v>2011</v>
      </c>
      <c r="D9" s="623">
        <f>C9+1</f>
        <v>2012</v>
      </c>
      <c r="E9" s="623">
        <f>D9+1</f>
        <v>2013</v>
      </c>
      <c r="F9" s="623">
        <f>E9+1</f>
        <v>2014</v>
      </c>
      <c r="G9" s="623">
        <f>F9+1</f>
        <v>2015</v>
      </c>
      <c r="H9" s="621" t="s">
        <v>204</v>
      </c>
      <c r="I9" s="622"/>
      <c r="J9" s="657" t="s">
        <v>740</v>
      </c>
    </row>
    <row r="10" spans="1:26" s="33" customFormat="1" ht="16.5" customHeight="1" x14ac:dyDescent="0.2">
      <c r="A10" s="557" t="s">
        <v>531</v>
      </c>
      <c r="B10" s="558">
        <v>0.35</v>
      </c>
      <c r="C10" s="558">
        <v>0.35</v>
      </c>
      <c r="D10" s="558">
        <v>0.35</v>
      </c>
      <c r="E10" s="558">
        <v>0.35</v>
      </c>
      <c r="F10" s="558">
        <v>0.35</v>
      </c>
      <c r="G10" s="558">
        <v>0.35</v>
      </c>
      <c r="H10" s="559">
        <f>$G10</f>
        <v>0.35</v>
      </c>
      <c r="I10" s="560" t="s">
        <v>532</v>
      </c>
      <c r="J10" s="229"/>
      <c r="K10" s="683"/>
      <c r="L10" s="683"/>
      <c r="M10" s="683"/>
      <c r="N10" s="683"/>
      <c r="O10" s="683"/>
      <c r="P10" s="683"/>
      <c r="Q10" s="683"/>
      <c r="R10" s="683"/>
      <c r="S10" s="683"/>
      <c r="T10" s="683"/>
      <c r="U10" s="683"/>
      <c r="V10" s="683"/>
      <c r="W10" s="683"/>
      <c r="X10" s="683"/>
      <c r="Y10" s="683"/>
      <c r="Z10" s="683"/>
    </row>
    <row r="11" spans="1:26" ht="16.5" customHeight="1" x14ac:dyDescent="0.2">
      <c r="A11" s="1275" t="s">
        <v>533</v>
      </c>
      <c r="B11" s="1272">
        <v>3.4000000000000002E-2</v>
      </c>
      <c r="C11" s="1272">
        <v>3.5999999999999997E-2</v>
      </c>
      <c r="D11" s="1272">
        <v>3.5999999999999997E-2</v>
      </c>
      <c r="E11" s="1272">
        <v>3.5999999999999997E-2</v>
      </c>
      <c r="F11" s="1272">
        <v>3.7999999999999999E-2</v>
      </c>
      <c r="G11" s="1272">
        <v>4.1000000000000002E-2</v>
      </c>
      <c r="H11" s="1274">
        <f>AVERAGE(B11:G11)</f>
        <v>3.6833333333333336E-2</v>
      </c>
      <c r="I11" s="1273" t="s">
        <v>534</v>
      </c>
      <c r="J11" s="1273" t="s">
        <v>627</v>
      </c>
    </row>
    <row r="12" spans="1:26" ht="16.5" customHeight="1" x14ac:dyDescent="0.2">
      <c r="A12" s="1275" t="s">
        <v>24</v>
      </c>
      <c r="B12" s="1272">
        <v>0</v>
      </c>
      <c r="C12" s="1272">
        <v>6.0000000000000001E-3</v>
      </c>
      <c r="D12" s="1272">
        <v>0</v>
      </c>
      <c r="E12" s="1272">
        <v>0</v>
      </c>
      <c r="F12" s="1272">
        <v>0</v>
      </c>
      <c r="G12" s="1272">
        <v>0</v>
      </c>
      <c r="H12" s="1274">
        <v>0</v>
      </c>
      <c r="I12" s="1273" t="s">
        <v>25</v>
      </c>
      <c r="J12" s="1273" t="s">
        <v>151</v>
      </c>
    </row>
    <row r="13" spans="1:26" ht="16.5" customHeight="1" x14ac:dyDescent="0.2">
      <c r="A13" s="1275" t="s">
        <v>152</v>
      </c>
      <c r="B13" s="1272"/>
      <c r="C13" s="1272"/>
      <c r="D13" s="1272"/>
      <c r="E13" s="1272"/>
      <c r="F13" s="1272">
        <v>8.9999999999999993E-3</v>
      </c>
      <c r="G13" s="1272">
        <v>4.0000000000000001E-3</v>
      </c>
      <c r="H13" s="1274">
        <v>0</v>
      </c>
      <c r="I13" s="1273" t="s">
        <v>153</v>
      </c>
      <c r="J13" s="1273" t="s">
        <v>26</v>
      </c>
    </row>
    <row r="14" spans="1:26" ht="16.5" customHeight="1" x14ac:dyDescent="0.2">
      <c r="A14" s="1275" t="s">
        <v>27</v>
      </c>
      <c r="B14" s="1272"/>
      <c r="C14" s="1272"/>
      <c r="D14" s="1272"/>
      <c r="E14" s="1272">
        <v>-1E-3</v>
      </c>
      <c r="F14" s="1272">
        <v>-2E-3</v>
      </c>
      <c r="G14" s="1272">
        <v>-6.0000000000000001E-3</v>
      </c>
      <c r="H14" s="1274">
        <f>AVERAGE(E14:G14)</f>
        <v>-3.0000000000000005E-3</v>
      </c>
      <c r="I14" s="1273" t="s">
        <v>1102</v>
      </c>
      <c r="J14" s="1273"/>
    </row>
    <row r="15" spans="1:26" ht="16.5" customHeight="1" x14ac:dyDescent="0.2">
      <c r="A15" s="699"/>
      <c r="B15" s="620"/>
      <c r="C15" s="620"/>
      <c r="D15" s="620"/>
      <c r="E15" s="620"/>
      <c r="F15" s="620"/>
      <c r="G15" s="620"/>
      <c r="H15" s="627"/>
      <c r="I15" s="625"/>
      <c r="J15" s="625"/>
    </row>
    <row r="16" spans="1:26" ht="16.5" customHeight="1" x14ac:dyDescent="0.2">
      <c r="A16" s="700"/>
      <c r="B16" s="620"/>
      <c r="C16" s="620"/>
      <c r="D16" s="620"/>
      <c r="E16" s="620"/>
      <c r="F16" s="620"/>
      <c r="G16" s="620"/>
      <c r="H16" s="643"/>
      <c r="I16" s="626"/>
      <c r="J16" s="626"/>
    </row>
    <row r="17" spans="1:26" ht="16.5" customHeight="1" x14ac:dyDescent="0.2">
      <c r="A17" s="700"/>
      <c r="B17" s="620"/>
      <c r="C17" s="620"/>
      <c r="D17" s="620"/>
      <c r="E17" s="620"/>
      <c r="F17" s="620"/>
      <c r="G17" s="620"/>
      <c r="H17" s="643"/>
      <c r="I17" s="626"/>
      <c r="J17" s="626"/>
    </row>
    <row r="18" spans="1:26" ht="16.5" customHeight="1" x14ac:dyDescent="0.2">
      <c r="A18" s="700"/>
      <c r="B18" s="620"/>
      <c r="C18" s="620"/>
      <c r="D18" s="620"/>
      <c r="E18" s="620"/>
      <c r="F18" s="620"/>
      <c r="G18" s="620"/>
      <c r="H18" s="643"/>
      <c r="I18" s="626"/>
      <c r="J18" s="626"/>
    </row>
    <row r="19" spans="1:26" s="33" customFormat="1" ht="16.5" customHeight="1" x14ac:dyDescent="0.2">
      <c r="A19" s="701" t="s">
        <v>326</v>
      </c>
      <c r="B19" s="443">
        <f t="shared" ref="B19:G19" si="0">B20-SUM(B10:B18)</f>
        <v>-2.5671039354187575E-3</v>
      </c>
      <c r="C19" s="443">
        <f t="shared" si="0"/>
        <v>-2.3663985701518619E-3</v>
      </c>
      <c r="D19" s="443">
        <f t="shared" si="0"/>
        <v>-6.2531645569619543E-3</v>
      </c>
      <c r="E19" s="443">
        <f t="shared" si="0"/>
        <v>-2.3254835996635581E-3</v>
      </c>
      <c r="F19" s="443">
        <f t="shared" si="0"/>
        <v>-2.59493670886074E-3</v>
      </c>
      <c r="G19" s="443">
        <f t="shared" si="0"/>
        <v>-3.754098360655711E-3</v>
      </c>
      <c r="H19" s="627">
        <f>AVERAGE(B19:G19)</f>
        <v>-3.310197621952097E-3</v>
      </c>
      <c r="I19" s="625" t="s">
        <v>534</v>
      </c>
      <c r="J19" s="626" t="s">
        <v>626</v>
      </c>
      <c r="K19" s="683"/>
      <c r="L19" s="683"/>
      <c r="M19" s="683"/>
      <c r="N19" s="683"/>
      <c r="O19" s="683"/>
      <c r="P19" s="683"/>
      <c r="Q19" s="683"/>
      <c r="R19" s="683"/>
      <c r="S19" s="683"/>
      <c r="T19" s="683"/>
      <c r="U19" s="683"/>
      <c r="V19" s="683"/>
      <c r="W19" s="683"/>
      <c r="X19" s="683"/>
      <c r="Y19" s="683"/>
      <c r="Z19" s="683"/>
    </row>
    <row r="20" spans="1:26" ht="16.5" customHeight="1" thickBot="1" x14ac:dyDescent="0.25">
      <c r="A20" s="561" t="str">
        <f>'IS Analysis Adjustments'!A27</f>
        <v>Taxes on income from continuing operations</v>
      </c>
      <c r="B20" s="562">
        <f t="shared" ref="B20:G20" si="1">B26</f>
        <v>0.38143289606458125</v>
      </c>
      <c r="C20" s="562">
        <f t="shared" si="1"/>
        <v>0.3896336014298481</v>
      </c>
      <c r="D20" s="562">
        <f t="shared" si="1"/>
        <v>0.379746835443038</v>
      </c>
      <c r="E20" s="562">
        <f t="shared" si="1"/>
        <v>0.3826745164003364</v>
      </c>
      <c r="F20" s="562">
        <f t="shared" si="1"/>
        <v>0.39240506329113922</v>
      </c>
      <c r="G20" s="562">
        <f t="shared" si="1"/>
        <v>0.38524590163934425</v>
      </c>
      <c r="H20" s="563">
        <f>SUM(H10:H19)</f>
        <v>0.38052313571138119</v>
      </c>
      <c r="I20" s="564" t="s">
        <v>540</v>
      </c>
      <c r="J20" s="87"/>
    </row>
    <row r="21" spans="1:26" s="39" customFormat="1" ht="16.5" customHeight="1" x14ac:dyDescent="0.2">
      <c r="A21" s="480"/>
      <c r="B21" s="480"/>
      <c r="C21" s="480"/>
      <c r="D21" s="480"/>
      <c r="E21" s="480"/>
      <c r="F21" s="480"/>
      <c r="G21" s="480"/>
      <c r="H21" s="109">
        <f>AVERAGE(B20:G20)</f>
        <v>0.38518980237804784</v>
      </c>
      <c r="I21" s="577" t="s">
        <v>608</v>
      </c>
      <c r="J21" s="577"/>
      <c r="K21" s="685"/>
      <c r="L21" s="685"/>
      <c r="M21" s="685"/>
      <c r="N21" s="685"/>
      <c r="O21" s="685"/>
      <c r="P21" s="685"/>
      <c r="Q21" s="685"/>
      <c r="R21" s="685"/>
      <c r="S21" s="685"/>
      <c r="T21" s="685"/>
      <c r="U21" s="685"/>
      <c r="V21" s="685"/>
      <c r="W21" s="685"/>
      <c r="X21" s="685"/>
      <c r="Y21" s="685"/>
      <c r="Z21" s="685"/>
    </row>
    <row r="22" spans="1:26" s="195" customFormat="1" ht="6" customHeight="1" x14ac:dyDescent="0.2">
      <c r="K22" s="683"/>
      <c r="L22" s="683"/>
      <c r="M22" s="683"/>
      <c r="N22" s="683"/>
      <c r="O22" s="683"/>
      <c r="P22" s="683"/>
      <c r="Q22" s="683"/>
      <c r="R22" s="683"/>
      <c r="S22" s="683"/>
      <c r="T22" s="683"/>
      <c r="U22" s="683"/>
      <c r="V22" s="683"/>
      <c r="W22" s="683"/>
      <c r="X22" s="683"/>
      <c r="Y22" s="683"/>
      <c r="Z22" s="683"/>
    </row>
    <row r="23" spans="1:26" s="630" customFormat="1" ht="16.5" customHeight="1" x14ac:dyDescent="0.2">
      <c r="A23" s="638" t="s">
        <v>622</v>
      </c>
      <c r="B23" s="628">
        <f>'Common-size FS'!B9</f>
        <v>2010</v>
      </c>
      <c r="C23" s="629">
        <f>B23+1</f>
        <v>2011</v>
      </c>
      <c r="D23" s="629">
        <f>C23+1</f>
        <v>2012</v>
      </c>
      <c r="E23" s="629">
        <f>D23+1</f>
        <v>2013</v>
      </c>
      <c r="F23" s="629">
        <f>E23+1</f>
        <v>2014</v>
      </c>
      <c r="G23" s="629">
        <f>F23+1</f>
        <v>2015</v>
      </c>
      <c r="H23" s="651"/>
      <c r="I23" s="651"/>
      <c r="J23" s="651"/>
      <c r="K23" s="1215"/>
      <c r="L23" s="1215"/>
      <c r="M23" s="1215"/>
      <c r="N23" s="1215"/>
      <c r="O23" s="1215"/>
      <c r="P23" s="1215"/>
      <c r="Q23" s="1215"/>
      <c r="R23" s="1215"/>
      <c r="S23" s="1215"/>
      <c r="T23" s="1215"/>
      <c r="U23" s="1215"/>
      <c r="V23" s="1215"/>
      <c r="W23" s="1215"/>
      <c r="X23" s="1215"/>
      <c r="Y23" s="1215"/>
      <c r="Z23" s="1215"/>
    </row>
    <row r="24" spans="1:26" s="631" customFormat="1" ht="16.5" customHeight="1" x14ac:dyDescent="0.2">
      <c r="A24" s="636" t="str">
        <f>'IS Analysis Adjustments'!A27</f>
        <v>Taxes on income from continuing operations</v>
      </c>
      <c r="B24" s="631">
        <f>'Common-size FS'!B94</f>
        <v>378</v>
      </c>
      <c r="C24" s="631">
        <f>'IS Analysis Adjustments'!B27</f>
        <v>436</v>
      </c>
      <c r="D24" s="631">
        <f>'IS Analysis Adjustments'!L27</f>
        <v>450</v>
      </c>
      <c r="E24" s="631">
        <f>'IS Analysis Adjustments'!V27</f>
        <v>455</v>
      </c>
      <c r="F24" s="631">
        <f>'IS Analysis Adjustments'!AF27</f>
        <v>465</v>
      </c>
      <c r="G24" s="631">
        <f>'IS Analysis Adjustments'!AP27</f>
        <v>376</v>
      </c>
      <c r="H24" s="639" t="s">
        <v>155</v>
      </c>
      <c r="I24" s="652"/>
      <c r="J24" s="654"/>
      <c r="K24" s="1216"/>
      <c r="L24" s="1216"/>
      <c r="M24" s="1216"/>
      <c r="N24" s="1216"/>
      <c r="O24" s="1216"/>
      <c r="P24" s="1216"/>
      <c r="Q24" s="1216"/>
      <c r="R24" s="1216"/>
      <c r="S24" s="1216"/>
      <c r="T24" s="1216"/>
      <c r="U24" s="1216"/>
      <c r="V24" s="1216"/>
      <c r="W24" s="1216"/>
      <c r="X24" s="1216"/>
      <c r="Y24" s="1216"/>
      <c r="Z24" s="1216"/>
    </row>
    <row r="25" spans="1:26" s="632" customFormat="1" ht="16.5" customHeight="1" x14ac:dyDescent="0.2">
      <c r="A25" s="642" t="str">
        <f>'IS Analysis Adjustments'!A26</f>
        <v>Income from cont. oper's before taxes</v>
      </c>
      <c r="B25" s="632">
        <f>'Common-size FS'!B93</f>
        <v>991</v>
      </c>
      <c r="C25" s="632">
        <f>'IS Analysis Adjustments'!B26</f>
        <v>1119</v>
      </c>
      <c r="D25" s="632">
        <f>'IS Analysis Adjustments'!L26</f>
        <v>1185</v>
      </c>
      <c r="E25" s="632">
        <f>'IS Analysis Adjustments'!V26</f>
        <v>1189</v>
      </c>
      <c r="F25" s="632">
        <f>'IS Analysis Adjustments'!AF26</f>
        <v>1185</v>
      </c>
      <c r="G25" s="632">
        <f>'IS Analysis Adjustments'!AP26</f>
        <v>976</v>
      </c>
      <c r="H25" s="640" t="s">
        <v>156</v>
      </c>
      <c r="I25" s="653"/>
      <c r="J25" s="655"/>
      <c r="K25" s="1217"/>
      <c r="L25" s="1217"/>
      <c r="M25" s="1217"/>
      <c r="N25" s="1217"/>
      <c r="O25" s="1217"/>
      <c r="P25" s="1217"/>
      <c r="Q25" s="1217"/>
      <c r="R25" s="1217"/>
      <c r="S25" s="1217"/>
      <c r="T25" s="1217"/>
      <c r="U25" s="1217"/>
      <c r="V25" s="1217"/>
      <c r="W25" s="1217"/>
      <c r="X25" s="1217"/>
      <c r="Y25" s="1217"/>
      <c r="Z25" s="1217"/>
    </row>
    <row r="26" spans="1:26" s="633" customFormat="1" ht="16.5" customHeight="1" thickBot="1" x14ac:dyDescent="0.25">
      <c r="A26" s="637" t="s">
        <v>337</v>
      </c>
      <c r="B26" s="634">
        <f t="shared" ref="B26:G26" si="2">B24/B25</f>
        <v>0.38143289606458125</v>
      </c>
      <c r="C26" s="634">
        <f t="shared" si="2"/>
        <v>0.3896336014298481</v>
      </c>
      <c r="D26" s="634">
        <f t="shared" si="2"/>
        <v>0.379746835443038</v>
      </c>
      <c r="E26" s="634">
        <f t="shared" si="2"/>
        <v>0.3826745164003364</v>
      </c>
      <c r="F26" s="634">
        <f t="shared" si="2"/>
        <v>0.39240506329113922</v>
      </c>
      <c r="G26" s="634">
        <f t="shared" si="2"/>
        <v>0.38524590163934425</v>
      </c>
      <c r="H26" s="641" t="s">
        <v>157</v>
      </c>
      <c r="I26" s="635" t="s">
        <v>609</v>
      </c>
      <c r="J26" s="656"/>
      <c r="K26" s="795"/>
      <c r="L26" s="795"/>
      <c r="M26" s="795"/>
      <c r="N26" s="795"/>
      <c r="O26" s="795"/>
      <c r="P26" s="795"/>
      <c r="Q26" s="795"/>
      <c r="R26" s="795"/>
      <c r="S26" s="795"/>
      <c r="T26" s="795"/>
      <c r="U26" s="795"/>
      <c r="V26" s="795"/>
      <c r="W26" s="795"/>
      <c r="X26" s="795"/>
      <c r="Y26" s="795"/>
      <c r="Z26" s="795"/>
    </row>
    <row r="27" spans="1:26" s="88" customFormat="1" ht="9" customHeight="1" x14ac:dyDescent="0.2">
      <c r="K27" s="685"/>
      <c r="L27" s="685"/>
      <c r="M27" s="685"/>
      <c r="N27" s="685"/>
      <c r="O27" s="685"/>
      <c r="P27" s="685"/>
      <c r="Q27" s="685"/>
      <c r="R27" s="685"/>
      <c r="S27" s="685"/>
      <c r="T27" s="685"/>
      <c r="U27" s="685"/>
      <c r="V27" s="685"/>
      <c r="W27" s="685"/>
      <c r="X27" s="685"/>
      <c r="Y27" s="685"/>
      <c r="Z27" s="685"/>
    </row>
    <row r="28" spans="1:26" s="82" customFormat="1" ht="16.5" customHeight="1" x14ac:dyDescent="0.2">
      <c r="K28" s="1169"/>
      <c r="L28" s="1169"/>
      <c r="M28" s="1169"/>
      <c r="N28" s="1169"/>
      <c r="O28" s="1169"/>
      <c r="P28" s="1169"/>
      <c r="Q28" s="1169"/>
      <c r="R28" s="1169"/>
      <c r="S28" s="1169"/>
      <c r="T28" s="1169"/>
      <c r="U28" s="1169"/>
      <c r="V28" s="1169"/>
      <c r="W28" s="1169"/>
      <c r="X28" s="1169"/>
      <c r="Y28" s="1169"/>
      <c r="Z28" s="1169"/>
    </row>
    <row r="29" spans="1:26" s="36" customFormat="1" ht="15" customHeight="1" x14ac:dyDescent="0.2">
      <c r="A29" s="847" t="s">
        <v>742</v>
      </c>
      <c r="B29" s="658"/>
      <c r="C29" s="658"/>
      <c r="D29" s="658"/>
      <c r="E29" s="658"/>
      <c r="F29" s="658"/>
      <c r="G29" s="658"/>
      <c r="H29" s="658"/>
      <c r="I29" s="658"/>
      <c r="J29" s="1276" t="s">
        <v>28</v>
      </c>
      <c r="K29" s="1169"/>
      <c r="L29" s="1169"/>
      <c r="M29" s="1169"/>
      <c r="N29" s="1169"/>
      <c r="O29" s="1169"/>
      <c r="P29" s="1169"/>
      <c r="Q29" s="1169"/>
      <c r="R29" s="1169"/>
      <c r="S29" s="1169"/>
      <c r="T29" s="1169"/>
      <c r="U29" s="1169"/>
      <c r="V29" s="1169"/>
      <c r="W29" s="1169"/>
      <c r="X29" s="1169"/>
      <c r="Y29" s="1169"/>
      <c r="Z29" s="1169"/>
    </row>
    <row r="30" spans="1:26" s="36" customFormat="1" ht="15" customHeight="1" x14ac:dyDescent="0.2">
      <c r="A30" s="847" t="s">
        <v>744</v>
      </c>
      <c r="B30" s="658"/>
      <c r="C30" s="658"/>
      <c r="D30" s="658"/>
      <c r="E30" s="658"/>
      <c r="F30" s="658"/>
      <c r="G30" s="658"/>
      <c r="H30" s="658"/>
      <c r="I30" s="658"/>
      <c r="J30" s="82"/>
      <c r="K30" s="1169"/>
      <c r="L30" s="1169"/>
      <c r="M30" s="1169"/>
      <c r="N30" s="1169"/>
      <c r="O30" s="1169"/>
      <c r="P30" s="1169"/>
      <c r="Q30" s="1169"/>
      <c r="R30" s="1169"/>
      <c r="S30" s="1169"/>
      <c r="T30" s="1169"/>
      <c r="U30" s="1169"/>
      <c r="V30" s="1169"/>
      <c r="W30" s="1169"/>
      <c r="X30" s="1169"/>
      <c r="Y30" s="1169"/>
      <c r="Z30" s="1169"/>
    </row>
    <row r="31" spans="1:26" s="36" customFormat="1" ht="15" customHeight="1" x14ac:dyDescent="0.2">
      <c r="A31" s="847" t="s">
        <v>743</v>
      </c>
      <c r="B31" s="658"/>
      <c r="C31" s="658"/>
      <c r="D31" s="658"/>
      <c r="E31" s="658"/>
      <c r="F31" s="658"/>
      <c r="G31" s="658"/>
      <c r="H31" s="658"/>
      <c r="I31" s="658"/>
      <c r="J31" s="82"/>
      <c r="K31" s="1169"/>
      <c r="L31" s="1169"/>
      <c r="M31" s="1169"/>
      <c r="N31" s="1169"/>
      <c r="O31" s="1169"/>
      <c r="P31" s="1169"/>
      <c r="Q31" s="1169"/>
      <c r="R31" s="1169"/>
      <c r="S31" s="1169"/>
      <c r="T31" s="1169"/>
      <c r="U31" s="1169"/>
      <c r="V31" s="1169"/>
      <c r="W31" s="1169"/>
      <c r="X31" s="1169"/>
      <c r="Y31" s="1169"/>
      <c r="Z31" s="1169"/>
    </row>
    <row r="32" spans="1:26" s="195" customFormat="1" ht="9" customHeight="1" x14ac:dyDescent="0.2">
      <c r="A32" s="650"/>
      <c r="B32" s="82"/>
      <c r="C32" s="82"/>
      <c r="D32" s="82"/>
      <c r="E32" s="82"/>
      <c r="F32" s="82"/>
      <c r="G32" s="82"/>
      <c r="K32" s="683"/>
      <c r="L32" s="683"/>
      <c r="M32" s="683"/>
      <c r="N32" s="683"/>
      <c r="O32" s="683"/>
      <c r="P32" s="683"/>
      <c r="Q32" s="683"/>
      <c r="R32" s="683"/>
      <c r="S32" s="683"/>
      <c r="T32" s="683"/>
      <c r="U32" s="683"/>
      <c r="V32" s="683"/>
      <c r="W32" s="683"/>
      <c r="X32" s="683"/>
      <c r="Y32" s="683"/>
      <c r="Z32" s="683"/>
    </row>
    <row r="33" spans="1:26" ht="16.5" customHeight="1" x14ac:dyDescent="0.2">
      <c r="A33" s="649"/>
      <c r="B33" s="814" t="s">
        <v>617</v>
      </c>
      <c r="C33" s="814"/>
      <c r="D33" s="814"/>
      <c r="E33" s="814"/>
      <c r="F33" s="814"/>
      <c r="G33" s="814"/>
      <c r="H33" s="87"/>
      <c r="I33" s="87"/>
      <c r="J33" s="87"/>
    </row>
    <row r="34" spans="1:26" ht="16.5" customHeight="1" x14ac:dyDescent="0.2">
      <c r="A34" s="649"/>
      <c r="B34" s="814" t="s">
        <v>616</v>
      </c>
      <c r="C34" s="814"/>
      <c r="D34" s="814"/>
      <c r="E34" s="814"/>
      <c r="F34" s="814"/>
      <c r="G34" s="814"/>
      <c r="H34" s="87"/>
      <c r="I34" s="87"/>
      <c r="J34" s="87"/>
    </row>
    <row r="35" spans="1:26" ht="16.5" customHeight="1" x14ac:dyDescent="0.2">
      <c r="A35" s="649"/>
      <c r="B35" s="1113">
        <f>D36</f>
        <v>2012</v>
      </c>
      <c r="C35" s="1114"/>
      <c r="D35" s="1114"/>
      <c r="E35" s="1115">
        <f>G36</f>
        <v>2015</v>
      </c>
      <c r="F35" s="1116"/>
      <c r="G35" s="1116"/>
      <c r="H35" s="87"/>
      <c r="I35" s="87"/>
      <c r="J35" s="87"/>
    </row>
    <row r="36" spans="1:26" ht="16.5" customHeight="1" x14ac:dyDescent="0.2">
      <c r="A36" s="87"/>
      <c r="B36" s="623">
        <f>'Common-size FS'!B9</f>
        <v>2010</v>
      </c>
      <c r="C36" s="623">
        <f>B36+1</f>
        <v>2011</v>
      </c>
      <c r="D36" s="623">
        <f>C36+1</f>
        <v>2012</v>
      </c>
      <c r="E36" s="623">
        <f>D36+1</f>
        <v>2013</v>
      </c>
      <c r="F36" s="623">
        <f>E36+1</f>
        <v>2014</v>
      </c>
      <c r="G36" s="623">
        <f>F36+1</f>
        <v>2015</v>
      </c>
      <c r="H36" s="87"/>
      <c r="I36" s="87"/>
      <c r="J36" s="87"/>
    </row>
    <row r="37" spans="1:26" s="33" customFormat="1" ht="16.5" customHeight="1" x14ac:dyDescent="0.2">
      <c r="A37" s="557" t="s">
        <v>531</v>
      </c>
      <c r="B37" s="1154">
        <v>420</v>
      </c>
      <c r="C37" s="1154">
        <v>409.5</v>
      </c>
      <c r="D37" s="1154">
        <v>420</v>
      </c>
      <c r="E37" s="1154">
        <v>413</v>
      </c>
      <c r="F37" s="1154">
        <v>423.5</v>
      </c>
      <c r="G37" s="1154">
        <v>409.5</v>
      </c>
      <c r="H37" s="646" t="s">
        <v>1072</v>
      </c>
      <c r="I37" s="87"/>
      <c r="J37" s="87"/>
      <c r="K37" s="683"/>
      <c r="L37" s="683"/>
      <c r="M37" s="683"/>
      <c r="N37" s="683"/>
      <c r="O37" s="683"/>
      <c r="P37" s="683"/>
      <c r="Q37" s="683"/>
      <c r="R37" s="683"/>
      <c r="S37" s="683"/>
      <c r="T37" s="683"/>
      <c r="U37" s="683"/>
      <c r="V37" s="683"/>
      <c r="W37" s="683"/>
      <c r="X37" s="683"/>
      <c r="Y37" s="683"/>
      <c r="Z37" s="683"/>
    </row>
    <row r="38" spans="1:26" ht="16.5" customHeight="1" x14ac:dyDescent="0.2">
      <c r="A38" s="571" t="s">
        <v>533</v>
      </c>
      <c r="B38" s="571">
        <v>110.39999999999999</v>
      </c>
      <c r="C38" s="571">
        <v>100.80000000000001</v>
      </c>
      <c r="D38" s="571">
        <v>106.8</v>
      </c>
      <c r="E38" s="571">
        <v>114</v>
      </c>
      <c r="F38" s="571">
        <v>93.6</v>
      </c>
      <c r="G38" s="571">
        <v>108</v>
      </c>
      <c r="H38" s="647"/>
      <c r="I38" s="87"/>
      <c r="J38" s="87"/>
    </row>
    <row r="39" spans="1:26" ht="16.5" customHeight="1" x14ac:dyDescent="0.2">
      <c r="A39" s="571" t="s">
        <v>535</v>
      </c>
      <c r="B39" s="571">
        <v>-24</v>
      </c>
      <c r="C39" s="571">
        <v>-37.200000000000003</v>
      </c>
      <c r="D39" s="571">
        <v>-57.6</v>
      </c>
      <c r="E39" s="571">
        <v>-68.400000000000006</v>
      </c>
      <c r="F39" s="571">
        <v>-73.2</v>
      </c>
      <c r="G39" s="571">
        <v>-70.8</v>
      </c>
      <c r="H39" s="647"/>
      <c r="I39" s="87"/>
      <c r="J39" s="87"/>
    </row>
    <row r="40" spans="1:26" ht="16.5" customHeight="1" x14ac:dyDescent="0.2">
      <c r="A40" s="571" t="s">
        <v>537</v>
      </c>
      <c r="B40" s="571">
        <v>0</v>
      </c>
      <c r="C40" s="571">
        <v>-28.8</v>
      </c>
      <c r="D40" s="571">
        <v>-1.2</v>
      </c>
      <c r="E40" s="571">
        <v>0</v>
      </c>
      <c r="F40" s="571">
        <v>0</v>
      </c>
      <c r="G40" s="571">
        <v>-2.4</v>
      </c>
      <c r="H40" s="647"/>
      <c r="I40" s="87"/>
      <c r="J40" s="87"/>
    </row>
    <row r="41" spans="1:26" ht="16.5" customHeight="1" x14ac:dyDescent="0.2">
      <c r="A41" s="571" t="s">
        <v>624</v>
      </c>
      <c r="B41" s="571">
        <v>-2.4</v>
      </c>
      <c r="C41" s="571">
        <v>0</v>
      </c>
      <c r="D41" s="571">
        <v>0</v>
      </c>
      <c r="E41" s="571">
        <v>1.2</v>
      </c>
      <c r="F41" s="571">
        <v>9.6</v>
      </c>
      <c r="G41" s="571">
        <v>6</v>
      </c>
      <c r="H41" s="647"/>
      <c r="I41" s="87"/>
      <c r="J41" s="87"/>
    </row>
    <row r="42" spans="1:26" ht="16.5" customHeight="1" x14ac:dyDescent="0.2">
      <c r="A42" s="571" t="s">
        <v>539</v>
      </c>
      <c r="B42" s="571">
        <v>0</v>
      </c>
      <c r="C42" s="571">
        <v>0</v>
      </c>
      <c r="D42" s="571">
        <v>0</v>
      </c>
      <c r="E42" s="571">
        <v>111.6</v>
      </c>
      <c r="F42" s="571">
        <v>0</v>
      </c>
      <c r="G42" s="571">
        <v>0</v>
      </c>
      <c r="H42" s="647"/>
      <c r="I42" s="87"/>
      <c r="J42" s="87"/>
    </row>
    <row r="43" spans="1:26" ht="16.5" customHeight="1" x14ac:dyDescent="0.2">
      <c r="A43" s="624" t="s">
        <v>618</v>
      </c>
      <c r="B43" s="571">
        <v>0</v>
      </c>
      <c r="C43" s="571">
        <v>0</v>
      </c>
      <c r="D43" s="571">
        <v>0</v>
      </c>
      <c r="E43" s="571">
        <v>0</v>
      </c>
      <c r="F43" s="571">
        <v>0</v>
      </c>
      <c r="G43" s="571">
        <v>0</v>
      </c>
      <c r="H43" s="648"/>
      <c r="I43" s="87"/>
      <c r="J43" s="87"/>
    </row>
    <row r="44" spans="1:26" ht="16.5" customHeight="1" x14ac:dyDescent="0.2">
      <c r="A44" s="624" t="s">
        <v>618</v>
      </c>
      <c r="B44" s="571">
        <v>0</v>
      </c>
      <c r="C44" s="571">
        <v>0</v>
      </c>
      <c r="D44" s="571">
        <v>0</v>
      </c>
      <c r="E44" s="571">
        <v>0</v>
      </c>
      <c r="F44" s="571">
        <v>0</v>
      </c>
      <c r="G44" s="571">
        <v>0</v>
      </c>
      <c r="H44" s="648"/>
      <c r="I44" s="87"/>
      <c r="J44" s="87"/>
    </row>
    <row r="45" spans="1:26" ht="16.5" customHeight="1" x14ac:dyDescent="0.2">
      <c r="A45" s="624" t="s">
        <v>618</v>
      </c>
      <c r="B45" s="571">
        <v>0</v>
      </c>
      <c r="C45" s="571">
        <v>0</v>
      </c>
      <c r="D45" s="571">
        <v>0</v>
      </c>
      <c r="E45" s="571">
        <v>0</v>
      </c>
      <c r="F45" s="571">
        <v>0</v>
      </c>
      <c r="G45" s="571">
        <v>0</v>
      </c>
      <c r="H45" s="648"/>
      <c r="I45" s="87"/>
      <c r="J45" s="87"/>
    </row>
    <row r="46" spans="1:26" s="33" customFormat="1" ht="16.5" customHeight="1" x14ac:dyDescent="0.2">
      <c r="A46" s="433" t="s">
        <v>326</v>
      </c>
      <c r="B46" s="565">
        <f t="shared" ref="B46:G46" si="3">B47-SUM(B37:B45)</f>
        <v>-126</v>
      </c>
      <c r="C46" s="565">
        <f t="shared" si="3"/>
        <v>-8.3000000000000114</v>
      </c>
      <c r="D46" s="565">
        <f t="shared" si="3"/>
        <v>-17.999999999999943</v>
      </c>
      <c r="E46" s="565">
        <f t="shared" si="3"/>
        <v>-116.39999999999998</v>
      </c>
      <c r="F46" s="565">
        <f t="shared" si="3"/>
        <v>11.499999999999943</v>
      </c>
      <c r="G46" s="565">
        <f t="shared" si="3"/>
        <v>-74.300000000000011</v>
      </c>
      <c r="H46" s="87"/>
      <c r="I46" s="87"/>
      <c r="J46" s="87"/>
      <c r="K46" s="683"/>
      <c r="L46" s="683"/>
      <c r="M46" s="683"/>
      <c r="N46" s="683"/>
      <c r="O46" s="683"/>
      <c r="P46" s="683"/>
      <c r="Q46" s="683"/>
      <c r="R46" s="683"/>
      <c r="S46" s="683"/>
      <c r="T46" s="683"/>
      <c r="U46" s="683"/>
      <c r="V46" s="683"/>
      <c r="W46" s="683"/>
      <c r="X46" s="683"/>
      <c r="Y46" s="683"/>
      <c r="Z46" s="683"/>
    </row>
    <row r="47" spans="1:26" ht="16.5" customHeight="1" thickBot="1" x14ac:dyDescent="0.25">
      <c r="A47" s="561" t="s">
        <v>864</v>
      </c>
      <c r="B47" s="567">
        <f t="shared" ref="B47:G47" si="4">B24</f>
        <v>378</v>
      </c>
      <c r="C47" s="567">
        <f t="shared" si="4"/>
        <v>436</v>
      </c>
      <c r="D47" s="567">
        <f t="shared" si="4"/>
        <v>450</v>
      </c>
      <c r="E47" s="567">
        <f t="shared" si="4"/>
        <v>455</v>
      </c>
      <c r="F47" s="567">
        <f t="shared" si="4"/>
        <v>465</v>
      </c>
      <c r="G47" s="567">
        <f t="shared" si="4"/>
        <v>376</v>
      </c>
      <c r="H47" s="87"/>
      <c r="I47" s="87"/>
      <c r="J47" s="87"/>
    </row>
    <row r="48" spans="1:26" s="88" customFormat="1" ht="16.5" customHeight="1" x14ac:dyDescent="0.2">
      <c r="A48" s="480"/>
      <c r="B48" s="600"/>
      <c r="C48" s="600"/>
      <c r="D48" s="600"/>
      <c r="E48" s="600"/>
      <c r="F48" s="600"/>
      <c r="G48" s="600"/>
      <c r="K48" s="685"/>
      <c r="L48" s="685"/>
      <c r="M48" s="685"/>
      <c r="N48" s="685"/>
      <c r="O48" s="685"/>
      <c r="P48" s="685"/>
      <c r="Q48" s="685"/>
      <c r="R48" s="685"/>
      <c r="S48" s="685"/>
      <c r="T48" s="685"/>
      <c r="U48" s="685"/>
      <c r="V48" s="685"/>
      <c r="W48" s="685"/>
      <c r="X48" s="685"/>
      <c r="Y48" s="685"/>
      <c r="Z48" s="685"/>
    </row>
    <row r="49" spans="1:26" s="36" customFormat="1" ht="16.5" customHeight="1" x14ac:dyDescent="0.2">
      <c r="A49" s="82"/>
      <c r="B49" s="644">
        <f>'Common-size FS'!B9</f>
        <v>2010</v>
      </c>
      <c r="C49" s="566">
        <f>B49+1</f>
        <v>2011</v>
      </c>
      <c r="D49" s="566">
        <f>C49+1</f>
        <v>2012</v>
      </c>
      <c r="E49" s="566">
        <f>D49+1</f>
        <v>2013</v>
      </c>
      <c r="F49" s="566">
        <f>E49+1</f>
        <v>2014</v>
      </c>
      <c r="G49" s="566">
        <f>F49+1</f>
        <v>2015</v>
      </c>
      <c r="H49" s="555" t="s">
        <v>204</v>
      </c>
      <c r="I49" s="556"/>
      <c r="J49" s="657" t="s">
        <v>741</v>
      </c>
      <c r="K49" s="1169"/>
      <c r="L49" s="1169"/>
      <c r="M49" s="1169"/>
      <c r="N49" s="1169"/>
      <c r="O49" s="1169"/>
      <c r="P49" s="1169"/>
      <c r="Q49" s="1169"/>
      <c r="R49" s="1169"/>
      <c r="S49" s="1169"/>
      <c r="T49" s="1169"/>
      <c r="U49" s="1169"/>
      <c r="V49" s="1169"/>
      <c r="W49" s="1169"/>
      <c r="X49" s="1169"/>
      <c r="Y49" s="1169"/>
      <c r="Z49" s="1169"/>
    </row>
    <row r="50" spans="1:26" s="36" customFormat="1" ht="16.5" customHeight="1" x14ac:dyDescent="0.2">
      <c r="A50" s="177" t="str">
        <f t="shared" ref="A50:A59" si="5">A37</f>
        <v>Income tax at US federal statutory rate</v>
      </c>
      <c r="B50" s="44">
        <f t="shared" ref="B50:G50" si="6">B37/B$25</f>
        <v>0.4238143289606458</v>
      </c>
      <c r="C50" s="44">
        <f t="shared" si="6"/>
        <v>0.36595174262734587</v>
      </c>
      <c r="D50" s="44">
        <f t="shared" si="6"/>
        <v>0.35443037974683544</v>
      </c>
      <c r="E50" s="44">
        <f t="shared" si="6"/>
        <v>0.34735071488645919</v>
      </c>
      <c r="F50" s="44">
        <f t="shared" si="6"/>
        <v>0.35738396624472574</v>
      </c>
      <c r="G50" s="44">
        <f t="shared" si="6"/>
        <v>0.41956967213114754</v>
      </c>
      <c r="H50" s="1155">
        <v>0.35</v>
      </c>
      <c r="I50" s="645" t="s">
        <v>532</v>
      </c>
      <c r="J50" s="82"/>
      <c r="K50" s="1169"/>
      <c r="L50" s="1169"/>
      <c r="M50" s="1169"/>
      <c r="N50" s="1169"/>
      <c r="O50" s="1169"/>
      <c r="P50" s="1169"/>
      <c r="Q50" s="1169"/>
      <c r="R50" s="1169"/>
      <c r="S50" s="1169"/>
      <c r="T50" s="1169"/>
      <c r="U50" s="1169"/>
      <c r="V50" s="1169"/>
      <c r="W50" s="1169"/>
      <c r="X50" s="1169"/>
      <c r="Y50" s="1169"/>
      <c r="Z50" s="1169"/>
    </row>
    <row r="51" spans="1:26" s="33" customFormat="1" ht="16.5" customHeight="1" x14ac:dyDescent="0.2">
      <c r="A51" s="557" t="str">
        <f t="shared" si="5"/>
        <v>State income taxes, net of federal tax benefit</v>
      </c>
      <c r="B51" s="558">
        <f t="shared" ref="B51:C58" si="7">B38/B$25</f>
        <v>0.1114026236125126</v>
      </c>
      <c r="C51" s="558">
        <f t="shared" si="7"/>
        <v>9.00804289544236E-2</v>
      </c>
      <c r="D51" s="558">
        <f t="shared" ref="D51:G58" si="8">D38/D$25</f>
        <v>9.0126582278481013E-2</v>
      </c>
      <c r="E51" s="558">
        <f t="shared" si="8"/>
        <v>9.5878889823380997E-2</v>
      </c>
      <c r="F51" s="558">
        <f t="shared" si="8"/>
        <v>7.8987341772151901E-2</v>
      </c>
      <c r="G51" s="558">
        <f t="shared" si="8"/>
        <v>0.11065573770491803</v>
      </c>
      <c r="H51" s="627">
        <f>AVERAGE(B51:G51)</f>
        <v>9.6188600690978024E-2</v>
      </c>
      <c r="I51" s="625" t="s">
        <v>534</v>
      </c>
      <c r="J51" s="625" t="s">
        <v>627</v>
      </c>
      <c r="K51" s="683"/>
      <c r="L51" s="683"/>
      <c r="M51" s="683"/>
      <c r="N51" s="683"/>
      <c r="O51" s="683"/>
      <c r="P51" s="683"/>
      <c r="Q51" s="683"/>
      <c r="R51" s="683"/>
      <c r="S51" s="683"/>
      <c r="T51" s="683"/>
      <c r="U51" s="683"/>
      <c r="V51" s="683"/>
      <c r="W51" s="683"/>
      <c r="X51" s="683"/>
      <c r="Y51" s="683"/>
      <c r="Z51" s="683"/>
    </row>
    <row r="52" spans="1:26" ht="16.5" customHeight="1" x14ac:dyDescent="0.2">
      <c r="A52" s="557" t="str">
        <f t="shared" si="5"/>
        <v>Tax rate differential on foreign income</v>
      </c>
      <c r="B52" s="558">
        <f t="shared" si="7"/>
        <v>-2.4217961654894045E-2</v>
      </c>
      <c r="C52" s="558">
        <f t="shared" si="7"/>
        <v>-3.3243967828418236E-2</v>
      </c>
      <c r="D52" s="558">
        <f t="shared" si="8"/>
        <v>-4.860759493670886E-2</v>
      </c>
      <c r="E52" s="558">
        <f t="shared" si="8"/>
        <v>-5.7527333894028601E-2</v>
      </c>
      <c r="F52" s="558">
        <f t="shared" si="8"/>
        <v>-6.1772151898734182E-2</v>
      </c>
      <c r="G52" s="558">
        <f t="shared" si="8"/>
        <v>-7.2540983606557377E-2</v>
      </c>
      <c r="H52" s="627">
        <f>AVERAGE(F52:G52)</f>
        <v>-6.7156567752645779E-2</v>
      </c>
      <c r="I52" s="625" t="s">
        <v>536</v>
      </c>
      <c r="J52" s="625" t="s">
        <v>628</v>
      </c>
    </row>
    <row r="53" spans="1:26" ht="16.5" customHeight="1" x14ac:dyDescent="0.2">
      <c r="A53" s="557" t="str">
        <f t="shared" si="5"/>
        <v>Federal tax credits</v>
      </c>
      <c r="B53" s="558">
        <f t="shared" si="7"/>
        <v>0</v>
      </c>
      <c r="C53" s="558">
        <f t="shared" si="7"/>
        <v>-2.5737265415549597E-2</v>
      </c>
      <c r="D53" s="558">
        <f t="shared" si="8"/>
        <v>-1.0126582278481013E-3</v>
      </c>
      <c r="E53" s="558">
        <f t="shared" si="8"/>
        <v>0</v>
      </c>
      <c r="F53" s="558">
        <f t="shared" si="8"/>
        <v>0</v>
      </c>
      <c r="G53" s="558">
        <f t="shared" si="8"/>
        <v>-2.4590163934426227E-3</v>
      </c>
      <c r="H53" s="627">
        <v>0</v>
      </c>
      <c r="I53" s="625" t="s">
        <v>619</v>
      </c>
      <c r="J53" s="625" t="s">
        <v>625</v>
      </c>
    </row>
    <row r="54" spans="1:26" ht="16.5" customHeight="1" x14ac:dyDescent="0.2">
      <c r="A54" s="557" t="str">
        <f t="shared" si="5"/>
        <v>Taxing authority audit settlements and other adjust.</v>
      </c>
      <c r="B54" s="558">
        <f t="shared" si="7"/>
        <v>-2.4217961654894047E-3</v>
      </c>
      <c r="C54" s="558">
        <f t="shared" si="7"/>
        <v>0</v>
      </c>
      <c r="D54" s="558">
        <f t="shared" si="8"/>
        <v>0</v>
      </c>
      <c r="E54" s="558">
        <f t="shared" si="8"/>
        <v>1.009251471825063E-3</v>
      </c>
      <c r="F54" s="558">
        <f t="shared" si="8"/>
        <v>8.1012658227848106E-3</v>
      </c>
      <c r="G54" s="558">
        <f t="shared" si="8"/>
        <v>6.1475409836065573E-3</v>
      </c>
      <c r="H54" s="627">
        <v>0</v>
      </c>
      <c r="I54" s="625" t="s">
        <v>620</v>
      </c>
      <c r="J54" s="625" t="s">
        <v>538</v>
      </c>
    </row>
    <row r="55" spans="1:26" ht="16.5" customHeight="1" x14ac:dyDescent="0.2">
      <c r="A55" s="557" t="str">
        <f t="shared" si="5"/>
        <v>Non-deductibility of goodwill impairment charge</v>
      </c>
      <c r="B55" s="558">
        <f t="shared" si="7"/>
        <v>0</v>
      </c>
      <c r="C55" s="558">
        <f t="shared" si="7"/>
        <v>0</v>
      </c>
      <c r="D55" s="558">
        <f t="shared" si="8"/>
        <v>0</v>
      </c>
      <c r="E55" s="558">
        <f t="shared" si="8"/>
        <v>9.3860386879730862E-2</v>
      </c>
      <c r="F55" s="558">
        <f t="shared" si="8"/>
        <v>0</v>
      </c>
      <c r="G55" s="558">
        <f t="shared" si="8"/>
        <v>0</v>
      </c>
      <c r="H55" s="627">
        <v>0</v>
      </c>
      <c r="I55" s="625" t="s">
        <v>623</v>
      </c>
      <c r="J55" s="625" t="s">
        <v>621</v>
      </c>
    </row>
    <row r="56" spans="1:26" ht="16.5" customHeight="1" x14ac:dyDescent="0.2">
      <c r="A56" s="557" t="str">
        <f t="shared" si="5"/>
        <v>[Label (kind of reconciling item)]</v>
      </c>
      <c r="B56" s="558">
        <f t="shared" si="7"/>
        <v>0</v>
      </c>
      <c r="C56" s="558">
        <f t="shared" si="7"/>
        <v>0</v>
      </c>
      <c r="D56" s="558">
        <f t="shared" si="8"/>
        <v>0</v>
      </c>
      <c r="E56" s="558">
        <f t="shared" si="8"/>
        <v>0</v>
      </c>
      <c r="F56" s="558">
        <f t="shared" si="8"/>
        <v>0</v>
      </c>
      <c r="G56" s="558">
        <f t="shared" si="8"/>
        <v>0</v>
      </c>
      <c r="H56" s="643">
        <f>AVERAGE(B56:G56)</f>
        <v>0</v>
      </c>
      <c r="I56" s="626" t="s">
        <v>534</v>
      </c>
      <c r="J56" s="626" t="s">
        <v>626</v>
      </c>
    </row>
    <row r="57" spans="1:26" ht="16.5" customHeight="1" x14ac:dyDescent="0.2">
      <c r="A57" s="557" t="str">
        <f t="shared" si="5"/>
        <v>[Label (kind of reconciling item)]</v>
      </c>
      <c r="B57" s="558">
        <f t="shared" si="7"/>
        <v>0</v>
      </c>
      <c r="C57" s="558">
        <f t="shared" si="7"/>
        <v>0</v>
      </c>
      <c r="D57" s="558">
        <f t="shared" si="8"/>
        <v>0</v>
      </c>
      <c r="E57" s="558">
        <f t="shared" si="8"/>
        <v>0</v>
      </c>
      <c r="F57" s="558">
        <f t="shared" si="8"/>
        <v>0</v>
      </c>
      <c r="G57" s="558">
        <f t="shared" si="8"/>
        <v>0</v>
      </c>
      <c r="H57" s="643">
        <f>AVERAGE(B57:G57)</f>
        <v>0</v>
      </c>
      <c r="I57" s="626" t="s">
        <v>534</v>
      </c>
      <c r="J57" s="626" t="s">
        <v>626</v>
      </c>
    </row>
    <row r="58" spans="1:26" ht="16.5" customHeight="1" x14ac:dyDescent="0.2">
      <c r="A58" s="557" t="str">
        <f t="shared" si="5"/>
        <v>[Label (kind of reconciling item)]</v>
      </c>
      <c r="B58" s="558">
        <f t="shared" si="7"/>
        <v>0</v>
      </c>
      <c r="C58" s="558">
        <f t="shared" si="7"/>
        <v>0</v>
      </c>
      <c r="D58" s="558">
        <f t="shared" si="8"/>
        <v>0</v>
      </c>
      <c r="E58" s="558">
        <f t="shared" si="8"/>
        <v>0</v>
      </c>
      <c r="F58" s="558">
        <f t="shared" si="8"/>
        <v>0</v>
      </c>
      <c r="G58" s="558">
        <f t="shared" si="8"/>
        <v>0</v>
      </c>
      <c r="H58" s="643">
        <f>AVERAGE(B58:G58)</f>
        <v>0</v>
      </c>
      <c r="I58" s="626" t="s">
        <v>534</v>
      </c>
      <c r="J58" s="626" t="s">
        <v>626</v>
      </c>
    </row>
    <row r="59" spans="1:26" s="33" customFormat="1" ht="16.5" customHeight="1" x14ac:dyDescent="0.2">
      <c r="A59" s="557" t="str">
        <f t="shared" si="5"/>
        <v>Other, net</v>
      </c>
      <c r="B59" s="558">
        <f t="shared" ref="B59:G59" si="9">B60-SUM(B50:B58)</f>
        <v>-0.1271442986881936</v>
      </c>
      <c r="C59" s="558">
        <f t="shared" si="9"/>
        <v>-7.4173369079535423E-3</v>
      </c>
      <c r="D59" s="558">
        <f t="shared" si="9"/>
        <v>-1.5189873417721489E-2</v>
      </c>
      <c r="E59" s="558">
        <f t="shared" si="9"/>
        <v>-9.7897392767031133E-2</v>
      </c>
      <c r="F59" s="558">
        <f t="shared" si="9"/>
        <v>9.7046413502109852E-3</v>
      </c>
      <c r="G59" s="558">
        <f t="shared" si="9"/>
        <v>-7.6127049180327866E-2</v>
      </c>
      <c r="H59" s="627">
        <f>AVERAGE(B59:G59)</f>
        <v>-5.2345218268502774E-2</v>
      </c>
      <c r="I59" s="625" t="s">
        <v>534</v>
      </c>
      <c r="J59" s="626" t="s">
        <v>626</v>
      </c>
      <c r="K59" s="683"/>
      <c r="L59" s="683"/>
      <c r="M59" s="683"/>
      <c r="N59" s="683"/>
      <c r="O59" s="683"/>
      <c r="P59" s="683"/>
      <c r="Q59" s="683"/>
      <c r="R59" s="683"/>
      <c r="S59" s="683"/>
      <c r="T59" s="683"/>
      <c r="U59" s="683"/>
      <c r="V59" s="683"/>
      <c r="W59" s="683"/>
      <c r="X59" s="683"/>
      <c r="Y59" s="683"/>
      <c r="Z59" s="683"/>
    </row>
    <row r="60" spans="1:26" ht="16.5" customHeight="1" thickBot="1" x14ac:dyDescent="0.25">
      <c r="A60" s="561" t="s">
        <v>864</v>
      </c>
      <c r="B60" s="562">
        <f t="shared" ref="B60:G60" si="10">B24/B25</f>
        <v>0.38143289606458125</v>
      </c>
      <c r="C60" s="562">
        <f t="shared" si="10"/>
        <v>0.3896336014298481</v>
      </c>
      <c r="D60" s="562">
        <f t="shared" si="10"/>
        <v>0.379746835443038</v>
      </c>
      <c r="E60" s="562">
        <f t="shared" si="10"/>
        <v>0.3826745164003364</v>
      </c>
      <c r="F60" s="562">
        <f t="shared" si="10"/>
        <v>0.39240506329113922</v>
      </c>
      <c r="G60" s="562">
        <f t="shared" si="10"/>
        <v>0.38524590163934425</v>
      </c>
      <c r="H60" s="563">
        <f>SUM(H50:H59)</f>
        <v>0.32668681466982941</v>
      </c>
      <c r="I60" s="564" t="s">
        <v>540</v>
      </c>
      <c r="J60" s="87"/>
    </row>
    <row r="61" spans="1:26" s="39" customFormat="1" ht="16.5" customHeight="1" x14ac:dyDescent="0.2">
      <c r="A61" s="88"/>
      <c r="B61" s="82"/>
      <c r="C61" s="88"/>
      <c r="D61" s="88"/>
      <c r="E61" s="88"/>
      <c r="F61" s="88"/>
      <c r="G61" s="88"/>
      <c r="H61" s="109">
        <f>AVERAGE(B60:G60)</f>
        <v>0.38518980237804784</v>
      </c>
      <c r="I61" s="577" t="s">
        <v>608</v>
      </c>
      <c r="J61" s="577"/>
      <c r="K61" s="685"/>
      <c r="L61" s="685"/>
      <c r="M61" s="685"/>
      <c r="N61" s="685"/>
      <c r="O61" s="685"/>
      <c r="P61" s="685"/>
      <c r="Q61" s="685"/>
      <c r="R61" s="685"/>
      <c r="S61" s="685"/>
      <c r="T61" s="685"/>
      <c r="U61" s="685"/>
      <c r="V61" s="685"/>
      <c r="W61" s="685"/>
      <c r="X61" s="685"/>
      <c r="Y61" s="685"/>
      <c r="Z61" s="685"/>
    </row>
    <row r="62" spans="1:26" s="195" customFormat="1" ht="16.5" customHeight="1" x14ac:dyDescent="0.2">
      <c r="B62" s="683"/>
      <c r="C62" s="683"/>
      <c r="D62" s="683"/>
      <c r="E62" s="683"/>
      <c r="K62" s="683"/>
      <c r="L62" s="683"/>
      <c r="M62" s="683"/>
      <c r="N62" s="683"/>
      <c r="O62" s="683"/>
      <c r="P62" s="683"/>
      <c r="Q62" s="683"/>
      <c r="R62" s="683"/>
      <c r="S62" s="683"/>
      <c r="T62" s="683"/>
      <c r="U62" s="683"/>
      <c r="V62" s="683"/>
      <c r="W62" s="683"/>
      <c r="X62" s="683"/>
      <c r="Y62" s="683"/>
      <c r="Z62" s="683"/>
    </row>
    <row r="63" spans="1:26" s="87" customFormat="1" ht="16.5" customHeight="1" x14ac:dyDescent="0.2">
      <c r="B63" s="682"/>
      <c r="C63" s="682"/>
      <c r="D63" s="682"/>
      <c r="E63" s="682"/>
      <c r="K63" s="682"/>
      <c r="L63" s="682"/>
      <c r="M63" s="682"/>
      <c r="N63" s="682"/>
      <c r="O63" s="682"/>
      <c r="P63" s="682"/>
      <c r="Q63" s="682"/>
      <c r="R63" s="682"/>
      <c r="S63" s="682"/>
      <c r="T63" s="682"/>
      <c r="U63" s="682"/>
      <c r="V63" s="682"/>
      <c r="W63" s="682"/>
      <c r="X63" s="682"/>
      <c r="Y63" s="682"/>
      <c r="Z63" s="682"/>
    </row>
    <row r="64" spans="1:26" s="87" customFormat="1" ht="16.5" customHeight="1" x14ac:dyDescent="0.2">
      <c r="B64" s="682"/>
      <c r="C64" s="682"/>
      <c r="D64" s="682"/>
      <c r="E64" s="682"/>
      <c r="K64" s="682"/>
      <c r="L64" s="682"/>
      <c r="M64" s="682"/>
      <c r="N64" s="682"/>
      <c r="O64" s="682"/>
      <c r="P64" s="682"/>
      <c r="Q64" s="682"/>
      <c r="R64" s="682"/>
      <c r="S64" s="682"/>
      <c r="T64" s="682"/>
      <c r="U64" s="682"/>
      <c r="V64" s="682"/>
      <c r="W64" s="682"/>
      <c r="X64" s="682"/>
      <c r="Y64" s="682"/>
      <c r="Z64" s="682"/>
    </row>
    <row r="65" spans="1:33" s="87" customFormat="1" ht="16.5" customHeight="1" x14ac:dyDescent="0.2">
      <c r="B65" s="682"/>
      <c r="C65" s="682"/>
      <c r="D65" s="682"/>
      <c r="E65" s="682"/>
      <c r="K65" s="682"/>
      <c r="L65" s="682"/>
      <c r="M65" s="682"/>
      <c r="N65" s="682"/>
      <c r="O65" s="682"/>
      <c r="P65" s="682"/>
      <c r="Q65" s="682"/>
      <c r="R65" s="682"/>
      <c r="S65" s="682"/>
      <c r="T65" s="682"/>
      <c r="U65" s="682"/>
      <c r="V65" s="682"/>
      <c r="W65" s="682"/>
      <c r="X65" s="682"/>
      <c r="Y65" s="682"/>
      <c r="Z65" s="682"/>
    </row>
    <row r="66" spans="1:33" s="87" customFormat="1" ht="16.899999999999999" customHeight="1" x14ac:dyDescent="0.2">
      <c r="A66" s="1015" t="s">
        <v>1053</v>
      </c>
      <c r="B66" s="718"/>
      <c r="C66" s="718"/>
      <c r="D66" s="682"/>
      <c r="E66" s="682"/>
      <c r="F66" s="682"/>
      <c r="G66" s="682"/>
      <c r="H66" s="682"/>
      <c r="I66" s="781"/>
      <c r="J66" s="792"/>
      <c r="K66" s="781"/>
      <c r="L66" s="781"/>
      <c r="M66" s="781"/>
      <c r="N66" s="781"/>
      <c r="O66" s="682"/>
      <c r="P66" s="682"/>
      <c r="Q66" s="682"/>
      <c r="R66" s="682"/>
      <c r="S66" s="682"/>
      <c r="T66" s="682"/>
      <c r="U66" s="682"/>
      <c r="V66" s="682"/>
      <c r="W66" s="682"/>
      <c r="X66" s="682"/>
      <c r="Y66" s="682"/>
      <c r="Z66" s="682"/>
      <c r="AA66" s="682"/>
      <c r="AB66" s="682"/>
      <c r="AC66" s="682"/>
      <c r="AD66" s="682"/>
      <c r="AE66" s="682"/>
      <c r="AF66" s="682"/>
      <c r="AG66" s="682"/>
    </row>
    <row r="67" spans="1:33" s="87" customFormat="1" ht="16.899999999999999" customHeight="1" x14ac:dyDescent="0.2">
      <c r="A67" s="544" t="s">
        <v>1031</v>
      </c>
      <c r="B67" s="682"/>
      <c r="C67" s="682"/>
      <c r="D67" s="682"/>
      <c r="E67" s="682"/>
      <c r="F67" s="1016" t="s">
        <v>790</v>
      </c>
      <c r="G67" s="1016" t="s">
        <v>935</v>
      </c>
      <c r="H67" s="781"/>
      <c r="I67" s="792"/>
      <c r="K67" s="781"/>
      <c r="L67" s="781"/>
      <c r="M67" s="781"/>
      <c r="N67" s="781"/>
      <c r="O67" s="682"/>
      <c r="P67" s="682"/>
      <c r="Q67" s="682"/>
      <c r="R67" s="682"/>
      <c r="S67" s="682"/>
      <c r="T67" s="682"/>
      <c r="U67" s="682"/>
      <c r="V67" s="682"/>
      <c r="W67" s="682"/>
      <c r="X67" s="682"/>
      <c r="Y67" s="682"/>
      <c r="Z67" s="682"/>
      <c r="AA67" s="682"/>
      <c r="AB67" s="682"/>
      <c r="AC67" s="682"/>
      <c r="AD67" s="682"/>
      <c r="AE67" s="682"/>
      <c r="AF67" s="682"/>
      <c r="AG67" s="682"/>
    </row>
    <row r="68" spans="1:33" s="87" customFormat="1" ht="27" customHeight="1" x14ac:dyDescent="0.2">
      <c r="A68" s="1282" t="s">
        <v>1054</v>
      </c>
      <c r="B68" s="1389"/>
      <c r="C68" s="1389"/>
      <c r="D68" s="1389"/>
      <c r="E68" s="1389"/>
      <c r="F68" s="1042">
        <v>30</v>
      </c>
      <c r="G68" s="1043">
        <v>29</v>
      </c>
      <c r="H68" s="781"/>
      <c r="I68" s="792"/>
      <c r="K68" s="781"/>
      <c r="L68" s="781"/>
      <c r="M68" s="781"/>
      <c r="N68" s="781"/>
      <c r="O68" s="682"/>
      <c r="P68" s="682"/>
      <c r="Q68" s="682"/>
      <c r="R68" s="682"/>
      <c r="S68" s="682"/>
      <c r="T68" s="682"/>
      <c r="U68" s="682"/>
      <c r="V68" s="682"/>
      <c r="W68" s="682"/>
      <c r="X68" s="682"/>
      <c r="Y68" s="682"/>
      <c r="Z68" s="682"/>
      <c r="AA68" s="682"/>
      <c r="AB68" s="682"/>
      <c r="AC68" s="682"/>
      <c r="AD68" s="682"/>
      <c r="AE68" s="682"/>
      <c r="AF68" s="682"/>
      <c r="AG68" s="682"/>
    </row>
    <row r="69" spans="1:33" s="87" customFormat="1" ht="27" customHeight="1" x14ac:dyDescent="0.2">
      <c r="A69" s="1390" t="s">
        <v>1055</v>
      </c>
      <c r="B69" s="1391"/>
      <c r="C69" s="1391"/>
      <c r="D69" s="1391"/>
      <c r="E69" s="1391"/>
      <c r="F69" s="1042">
        <v>70</v>
      </c>
      <c r="G69" s="1043">
        <v>59</v>
      </c>
      <c r="H69" s="781"/>
      <c r="I69" s="792"/>
      <c r="K69" s="781"/>
      <c r="L69" s="781"/>
      <c r="M69" s="781"/>
      <c r="N69" s="781"/>
      <c r="O69" s="682"/>
      <c r="P69" s="682"/>
      <c r="Q69" s="682"/>
      <c r="R69" s="682"/>
      <c r="S69" s="682"/>
      <c r="T69" s="682"/>
      <c r="U69" s="682"/>
      <c r="V69" s="682"/>
      <c r="W69" s="682"/>
      <c r="X69" s="682"/>
      <c r="Y69" s="682"/>
      <c r="Z69" s="682"/>
      <c r="AA69" s="682"/>
      <c r="AB69" s="682"/>
      <c r="AC69" s="682"/>
      <c r="AD69" s="682"/>
      <c r="AE69" s="682"/>
      <c r="AF69" s="682"/>
      <c r="AG69" s="682"/>
    </row>
    <row r="70" spans="1:33" s="198" customFormat="1" ht="16.899999999999999" customHeight="1" thickBot="1" x14ac:dyDescent="0.25">
      <c r="A70" s="467" t="s">
        <v>936</v>
      </c>
      <c r="B70" s="687"/>
      <c r="C70" s="687"/>
      <c r="D70" s="687"/>
      <c r="E70" s="687"/>
      <c r="F70" s="37">
        <f>SUM(F68:F69)</f>
        <v>100</v>
      </c>
      <c r="G70" s="1080">
        <f>SUM(G68:G69)</f>
        <v>88</v>
      </c>
      <c r="H70" s="727"/>
      <c r="I70" s="1077"/>
      <c r="K70" s="1078"/>
      <c r="L70" s="1078"/>
      <c r="M70" s="1078"/>
      <c r="N70" s="1078"/>
      <c r="O70" s="687"/>
      <c r="P70" s="687"/>
      <c r="Q70" s="687"/>
      <c r="R70" s="687"/>
      <c r="S70" s="687"/>
      <c r="T70" s="687"/>
      <c r="U70" s="687"/>
      <c r="V70" s="687"/>
      <c r="W70" s="687"/>
      <c r="X70" s="687"/>
      <c r="Y70" s="687"/>
      <c r="Z70" s="687"/>
      <c r="AA70" s="687"/>
      <c r="AB70" s="687"/>
      <c r="AC70" s="687"/>
      <c r="AD70" s="687"/>
      <c r="AE70" s="687"/>
      <c r="AF70" s="687"/>
      <c r="AG70" s="687"/>
    </row>
    <row r="71" spans="1:33" s="87" customFormat="1" ht="16.5" customHeight="1" x14ac:dyDescent="0.2">
      <c r="K71" s="682"/>
      <c r="L71" s="682"/>
      <c r="M71" s="682"/>
      <c r="N71" s="682"/>
      <c r="O71" s="682"/>
      <c r="P71" s="682"/>
      <c r="Q71" s="682"/>
      <c r="R71" s="682"/>
      <c r="S71" s="682"/>
      <c r="T71" s="682"/>
      <c r="U71" s="682"/>
      <c r="V71" s="682"/>
      <c r="W71" s="682"/>
      <c r="X71" s="682"/>
      <c r="Y71" s="682"/>
      <c r="Z71" s="682"/>
    </row>
    <row r="72" spans="1:33" s="87" customFormat="1" ht="16.5" customHeight="1" x14ac:dyDescent="0.2">
      <c r="K72" s="682"/>
      <c r="L72" s="682"/>
      <c r="M72" s="682"/>
      <c r="N72" s="682"/>
      <c r="O72" s="682"/>
      <c r="P72" s="682"/>
      <c r="Q72" s="682"/>
      <c r="R72" s="682"/>
      <c r="S72" s="682"/>
      <c r="T72" s="682"/>
      <c r="U72" s="682"/>
      <c r="V72" s="682"/>
      <c r="W72" s="682"/>
      <c r="X72" s="682"/>
      <c r="Y72" s="682"/>
      <c r="Z72" s="682"/>
    </row>
    <row r="73" spans="1:33" s="87" customFormat="1" ht="16.5" customHeight="1" x14ac:dyDescent="0.2">
      <c r="K73" s="682"/>
      <c r="L73" s="682"/>
      <c r="M73" s="682"/>
      <c r="N73" s="682"/>
      <c r="O73" s="682"/>
      <c r="P73" s="682"/>
      <c r="Q73" s="682"/>
      <c r="R73" s="682"/>
      <c r="S73" s="682"/>
      <c r="T73" s="682"/>
      <c r="U73" s="682"/>
      <c r="V73" s="682"/>
      <c r="W73" s="682"/>
      <c r="X73" s="682"/>
      <c r="Y73" s="682"/>
      <c r="Z73" s="682"/>
    </row>
    <row r="74" spans="1:33" s="87" customFormat="1" ht="16.5" customHeight="1" x14ac:dyDescent="0.2">
      <c r="K74" s="682"/>
      <c r="L74" s="682"/>
      <c r="M74" s="682"/>
      <c r="N74" s="682"/>
      <c r="O74" s="682"/>
      <c r="P74" s="682"/>
      <c r="Q74" s="682"/>
      <c r="R74" s="682"/>
      <c r="S74" s="682"/>
      <c r="T74" s="682"/>
      <c r="U74" s="682"/>
      <c r="V74" s="682"/>
      <c r="W74" s="682"/>
      <c r="X74" s="682"/>
      <c r="Y74" s="682"/>
      <c r="Z74" s="682"/>
    </row>
    <row r="75" spans="1:33" s="87" customFormat="1" ht="16.5" customHeight="1" x14ac:dyDescent="0.2">
      <c r="K75" s="682"/>
      <c r="L75" s="682"/>
      <c r="M75" s="682"/>
      <c r="N75" s="682"/>
      <c r="O75" s="682"/>
      <c r="P75" s="682"/>
      <c r="Q75" s="682"/>
      <c r="R75" s="682"/>
      <c r="S75" s="682"/>
      <c r="T75" s="682"/>
      <c r="U75" s="682"/>
      <c r="V75" s="682"/>
      <c r="W75" s="682"/>
      <c r="X75" s="682"/>
      <c r="Y75" s="682"/>
      <c r="Z75" s="682"/>
    </row>
    <row r="76" spans="1:33" s="87" customFormat="1" ht="16.5" customHeight="1" x14ac:dyDescent="0.2">
      <c r="K76" s="682"/>
      <c r="L76" s="682"/>
      <c r="M76" s="682"/>
      <c r="N76" s="682"/>
      <c r="O76" s="682"/>
      <c r="P76" s="682"/>
      <c r="Q76" s="682"/>
      <c r="R76" s="682"/>
      <c r="S76" s="682"/>
      <c r="T76" s="682"/>
      <c r="U76" s="682"/>
      <c r="V76" s="682"/>
      <c r="W76" s="682"/>
      <c r="X76" s="682"/>
      <c r="Y76" s="682"/>
      <c r="Z76" s="682"/>
    </row>
    <row r="77" spans="1:33" s="87" customFormat="1" ht="16.5" customHeight="1" x14ac:dyDescent="0.2">
      <c r="K77" s="682"/>
      <c r="L77" s="682"/>
      <c r="M77" s="682"/>
      <c r="N77" s="682"/>
      <c r="O77" s="682"/>
      <c r="P77" s="682"/>
      <c r="Q77" s="682"/>
      <c r="R77" s="682"/>
      <c r="S77" s="682"/>
      <c r="T77" s="682"/>
      <c r="U77" s="682"/>
      <c r="V77" s="682"/>
      <c r="W77" s="682"/>
      <c r="X77" s="682"/>
      <c r="Y77" s="682"/>
      <c r="Z77" s="682"/>
    </row>
    <row r="78" spans="1:33" s="87" customFormat="1" ht="16.5" customHeight="1" x14ac:dyDescent="0.2">
      <c r="K78" s="682"/>
      <c r="L78" s="682"/>
      <c r="M78" s="682"/>
      <c r="N78" s="682"/>
      <c r="O78" s="682"/>
      <c r="P78" s="682"/>
      <c r="Q78" s="682"/>
      <c r="R78" s="682"/>
      <c r="S78" s="682"/>
      <c r="T78" s="682"/>
      <c r="U78" s="682"/>
      <c r="V78" s="682"/>
      <c r="W78" s="682"/>
      <c r="X78" s="682"/>
      <c r="Y78" s="682"/>
      <c r="Z78" s="682"/>
    </row>
    <row r="79" spans="1:33" s="87" customFormat="1" ht="16.5" customHeight="1" x14ac:dyDescent="0.2">
      <c r="K79" s="682"/>
      <c r="L79" s="682"/>
      <c r="M79" s="682"/>
      <c r="N79" s="682"/>
      <c r="O79" s="682"/>
      <c r="P79" s="682"/>
      <c r="Q79" s="682"/>
      <c r="R79" s="682"/>
      <c r="S79" s="682"/>
      <c r="T79" s="682"/>
      <c r="U79" s="682"/>
      <c r="V79" s="682"/>
      <c r="W79" s="682"/>
      <c r="X79" s="682"/>
      <c r="Y79" s="682"/>
      <c r="Z79" s="682"/>
    </row>
    <row r="80" spans="1:33" s="87" customFormat="1" ht="16.5" customHeight="1" x14ac:dyDescent="0.2">
      <c r="K80" s="682"/>
      <c r="L80" s="682"/>
      <c r="M80" s="682"/>
      <c r="N80" s="682"/>
      <c r="O80" s="682"/>
      <c r="P80" s="682"/>
      <c r="Q80" s="682"/>
      <c r="R80" s="682"/>
      <c r="S80" s="682"/>
      <c r="T80" s="682"/>
      <c r="U80" s="682"/>
      <c r="V80" s="682"/>
      <c r="W80" s="682"/>
      <c r="X80" s="682"/>
      <c r="Y80" s="682"/>
      <c r="Z80" s="682"/>
    </row>
    <row r="81" spans="11:26" s="87" customFormat="1" ht="16.5" customHeight="1" x14ac:dyDescent="0.2">
      <c r="K81" s="682"/>
      <c r="L81" s="682"/>
      <c r="M81" s="682"/>
      <c r="N81" s="682"/>
      <c r="O81" s="682"/>
      <c r="P81" s="682"/>
      <c r="Q81" s="682"/>
      <c r="R81" s="682"/>
      <c r="S81" s="682"/>
      <c r="T81" s="682"/>
      <c r="U81" s="682"/>
      <c r="V81" s="682"/>
      <c r="W81" s="682"/>
      <c r="X81" s="682"/>
      <c r="Y81" s="682"/>
      <c r="Z81" s="682"/>
    </row>
    <row r="82" spans="11:26" s="87" customFormat="1" ht="16.5" customHeight="1" x14ac:dyDescent="0.2">
      <c r="K82" s="682"/>
      <c r="L82" s="682"/>
      <c r="M82" s="682"/>
      <c r="N82" s="682"/>
      <c r="O82" s="682"/>
      <c r="P82" s="682"/>
      <c r="Q82" s="682"/>
      <c r="R82" s="682"/>
      <c r="S82" s="682"/>
      <c r="T82" s="682"/>
      <c r="U82" s="682"/>
      <c r="V82" s="682"/>
      <c r="W82" s="682"/>
      <c r="X82" s="682"/>
      <c r="Y82" s="682"/>
      <c r="Z82" s="682"/>
    </row>
    <row r="83" spans="11:26" s="87" customFormat="1" ht="16.5" customHeight="1" x14ac:dyDescent="0.2">
      <c r="K83" s="682"/>
      <c r="L83" s="682"/>
      <c r="M83" s="682"/>
      <c r="N83" s="682"/>
      <c r="O83" s="682"/>
      <c r="P83" s="682"/>
      <c r="Q83" s="682"/>
      <c r="R83" s="682"/>
      <c r="S83" s="682"/>
      <c r="T83" s="682"/>
      <c r="U83" s="682"/>
      <c r="V83" s="682"/>
      <c r="W83" s="682"/>
      <c r="X83" s="682"/>
      <c r="Y83" s="682"/>
      <c r="Z83" s="682"/>
    </row>
    <row r="84" spans="11:26" s="87" customFormat="1" ht="16.5" customHeight="1" x14ac:dyDescent="0.2">
      <c r="K84" s="682"/>
      <c r="L84" s="682"/>
      <c r="M84" s="682"/>
      <c r="N84" s="682"/>
      <c r="O84" s="682"/>
      <c r="P84" s="682"/>
      <c r="Q84" s="682"/>
      <c r="R84" s="682"/>
      <c r="S84" s="682"/>
      <c r="T84" s="682"/>
      <c r="U84" s="682"/>
      <c r="V84" s="682"/>
      <c r="W84" s="682"/>
      <c r="X84" s="682"/>
      <c r="Y84" s="682"/>
      <c r="Z84" s="682"/>
    </row>
    <row r="85" spans="11:26" s="87" customFormat="1" ht="16.5" customHeight="1" x14ac:dyDescent="0.2">
      <c r="K85" s="682"/>
      <c r="L85" s="682"/>
      <c r="M85" s="682"/>
      <c r="N85" s="682"/>
      <c r="O85" s="682"/>
      <c r="P85" s="682"/>
      <c r="Q85" s="682"/>
      <c r="R85" s="682"/>
      <c r="S85" s="682"/>
      <c r="T85" s="682"/>
      <c r="U85" s="682"/>
      <c r="V85" s="682"/>
      <c r="W85" s="682"/>
      <c r="X85" s="682"/>
      <c r="Y85" s="682"/>
      <c r="Z85" s="682"/>
    </row>
    <row r="86" spans="11:26" s="87" customFormat="1" ht="16.5" customHeight="1" x14ac:dyDescent="0.2">
      <c r="K86" s="682"/>
      <c r="L86" s="682"/>
      <c r="M86" s="682"/>
      <c r="N86" s="682"/>
      <c r="O86" s="682"/>
      <c r="P86" s="682"/>
      <c r="Q86" s="682"/>
      <c r="R86" s="682"/>
      <c r="S86" s="682"/>
      <c r="T86" s="682"/>
      <c r="U86" s="682"/>
      <c r="V86" s="682"/>
      <c r="W86" s="682"/>
      <c r="X86" s="682"/>
      <c r="Y86" s="682"/>
      <c r="Z86" s="682"/>
    </row>
    <row r="87" spans="11:26" s="87" customFormat="1" ht="16.5" customHeight="1" x14ac:dyDescent="0.2">
      <c r="K87" s="682"/>
      <c r="L87" s="682"/>
      <c r="M87" s="682"/>
      <c r="N87" s="682"/>
      <c r="O87" s="682"/>
      <c r="P87" s="682"/>
      <c r="Q87" s="682"/>
      <c r="R87" s="682"/>
      <c r="S87" s="682"/>
      <c r="T87" s="682"/>
      <c r="U87" s="682"/>
      <c r="V87" s="682"/>
      <c r="W87" s="682"/>
      <c r="X87" s="682"/>
      <c r="Y87" s="682"/>
      <c r="Z87" s="682"/>
    </row>
    <row r="88" spans="11:26" s="87" customFormat="1" ht="16.5" customHeight="1" x14ac:dyDescent="0.2">
      <c r="K88" s="682"/>
      <c r="L88" s="682"/>
      <c r="M88" s="682"/>
      <c r="N88" s="682"/>
      <c r="O88" s="682"/>
      <c r="P88" s="682"/>
      <c r="Q88" s="682"/>
      <c r="R88" s="682"/>
      <c r="S88" s="682"/>
      <c r="T88" s="682"/>
      <c r="U88" s="682"/>
      <c r="V88" s="682"/>
      <c r="W88" s="682"/>
      <c r="X88" s="682"/>
      <c r="Y88" s="682"/>
      <c r="Z88" s="682"/>
    </row>
    <row r="89" spans="11:26" s="87" customFormat="1" ht="16.5" customHeight="1" x14ac:dyDescent="0.2">
      <c r="K89" s="682"/>
      <c r="L89" s="682"/>
      <c r="M89" s="682"/>
      <c r="N89" s="682"/>
      <c r="O89" s="682"/>
      <c r="P89" s="682"/>
      <c r="Q89" s="682"/>
      <c r="R89" s="682"/>
      <c r="S89" s="682"/>
      <c r="T89" s="682"/>
      <c r="U89" s="682"/>
      <c r="V89" s="682"/>
      <c r="W89" s="682"/>
      <c r="X89" s="682"/>
      <c r="Y89" s="682"/>
      <c r="Z89" s="682"/>
    </row>
    <row r="90" spans="11:26" s="87" customFormat="1" ht="16.5" customHeight="1" x14ac:dyDescent="0.2">
      <c r="K90" s="682"/>
      <c r="L90" s="682"/>
      <c r="M90" s="682"/>
      <c r="N90" s="682"/>
      <c r="O90" s="682"/>
      <c r="P90" s="682"/>
      <c r="Q90" s="682"/>
      <c r="R90" s="682"/>
      <c r="S90" s="682"/>
      <c r="T90" s="682"/>
      <c r="U90" s="682"/>
      <c r="V90" s="682"/>
      <c r="W90" s="682"/>
      <c r="X90" s="682"/>
      <c r="Y90" s="682"/>
      <c r="Z90" s="682"/>
    </row>
    <row r="91" spans="11:26" s="87" customFormat="1" ht="16.5" customHeight="1" x14ac:dyDescent="0.2">
      <c r="K91" s="682"/>
      <c r="L91" s="682"/>
      <c r="M91" s="682"/>
      <c r="N91" s="682"/>
      <c r="O91" s="682"/>
      <c r="P91" s="682"/>
      <c r="Q91" s="682"/>
      <c r="R91" s="682"/>
      <c r="S91" s="682"/>
      <c r="T91" s="682"/>
      <c r="U91" s="682"/>
      <c r="V91" s="682"/>
      <c r="W91" s="682"/>
      <c r="X91" s="682"/>
      <c r="Y91" s="682"/>
      <c r="Z91" s="682"/>
    </row>
    <row r="92" spans="11:26" s="87" customFormat="1" ht="16.5" customHeight="1" x14ac:dyDescent="0.2">
      <c r="K92" s="682"/>
      <c r="L92" s="682"/>
      <c r="M92" s="682"/>
      <c r="N92" s="682"/>
      <c r="O92" s="682"/>
      <c r="P92" s="682"/>
      <c r="Q92" s="682"/>
      <c r="R92" s="682"/>
      <c r="S92" s="682"/>
      <c r="T92" s="682"/>
      <c r="U92" s="682"/>
      <c r="V92" s="682"/>
      <c r="W92" s="682"/>
      <c r="X92" s="682"/>
      <c r="Y92" s="682"/>
      <c r="Z92" s="682"/>
    </row>
    <row r="93" spans="11:26" s="87" customFormat="1" ht="16.5" customHeight="1" x14ac:dyDescent="0.2">
      <c r="K93" s="682"/>
      <c r="L93" s="682"/>
      <c r="M93" s="682"/>
      <c r="N93" s="682"/>
      <c r="O93" s="682"/>
      <c r="P93" s="682"/>
      <c r="Q93" s="682"/>
      <c r="R93" s="682"/>
      <c r="S93" s="682"/>
      <c r="T93" s="682"/>
      <c r="U93" s="682"/>
      <c r="V93" s="682"/>
      <c r="W93" s="682"/>
      <c r="X93" s="682"/>
      <c r="Y93" s="682"/>
      <c r="Z93" s="682"/>
    </row>
    <row r="94" spans="11:26" s="87" customFormat="1" ht="16.5" customHeight="1" x14ac:dyDescent="0.2">
      <c r="K94" s="682"/>
      <c r="L94" s="682"/>
      <c r="M94" s="682"/>
      <c r="N94" s="682"/>
      <c r="O94" s="682"/>
      <c r="P94" s="682"/>
      <c r="Q94" s="682"/>
      <c r="R94" s="682"/>
      <c r="S94" s="682"/>
      <c r="T94" s="682"/>
      <c r="U94" s="682"/>
      <c r="V94" s="682"/>
      <c r="W94" s="682"/>
      <c r="X94" s="682"/>
      <c r="Y94" s="682"/>
      <c r="Z94" s="682"/>
    </row>
    <row r="95" spans="11:26" s="87" customFormat="1" ht="16.5" customHeight="1" x14ac:dyDescent="0.2">
      <c r="K95" s="682"/>
      <c r="L95" s="682"/>
      <c r="M95" s="682"/>
      <c r="N95" s="682"/>
      <c r="O95" s="682"/>
      <c r="P95" s="682"/>
      <c r="Q95" s="682"/>
      <c r="R95" s="682"/>
      <c r="S95" s="682"/>
      <c r="T95" s="682"/>
      <c r="U95" s="682"/>
      <c r="V95" s="682"/>
      <c r="W95" s="682"/>
      <c r="X95" s="682"/>
      <c r="Y95" s="682"/>
      <c r="Z95" s="682"/>
    </row>
    <row r="96" spans="11:26" s="87" customFormat="1" ht="16.5" customHeight="1" x14ac:dyDescent="0.2">
      <c r="K96" s="682"/>
      <c r="L96" s="682"/>
      <c r="M96" s="682"/>
      <c r="N96" s="682"/>
      <c r="O96" s="682"/>
      <c r="P96" s="682"/>
      <c r="Q96" s="682"/>
      <c r="R96" s="682"/>
      <c r="S96" s="682"/>
      <c r="T96" s="682"/>
      <c r="U96" s="682"/>
      <c r="V96" s="682"/>
      <c r="W96" s="682"/>
      <c r="X96" s="682"/>
      <c r="Y96" s="682"/>
      <c r="Z96" s="682"/>
    </row>
    <row r="97" spans="11:26" s="87" customFormat="1" ht="16.5" customHeight="1" x14ac:dyDescent="0.2">
      <c r="K97" s="682"/>
      <c r="L97" s="682"/>
      <c r="M97" s="682"/>
      <c r="N97" s="682"/>
      <c r="O97" s="682"/>
      <c r="P97" s="682"/>
      <c r="Q97" s="682"/>
      <c r="R97" s="682"/>
      <c r="S97" s="682"/>
      <c r="T97" s="682"/>
      <c r="U97" s="682"/>
      <c r="V97" s="682"/>
      <c r="W97" s="682"/>
      <c r="X97" s="682"/>
      <c r="Y97" s="682"/>
      <c r="Z97" s="682"/>
    </row>
  </sheetData>
  <mergeCells count="2">
    <mergeCell ref="A68:E68"/>
    <mergeCell ref="A69:E69"/>
  </mergeCells>
  <phoneticPr fontId="137" type="noConversion"/>
  <printOptions horizontalCentered="1"/>
  <pageMargins left="0.15" right="0.15" top="0.25" bottom="0.25" header="0.25" footer="0.25"/>
  <rowBreaks count="1" manualBreakCount="1">
    <brk id="27" max="16383" man="1"/>
  </rowBreaks>
  <drawing r:id="rId1"/>
  <legacyDrawing r:id="rId2"/>
  <extLst>
    <ext xmlns:mx="http://schemas.microsoft.com/office/mac/excel/2008/main" uri="http://schemas.microsoft.com/office/mac/excel/2008/main">
      <mx:PLV Mode="0" OnePage="0" WScale="0"/>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9900"/>
    <pageSetUpPr fitToPage="1"/>
  </sheetPr>
  <dimension ref="A1:Z49"/>
  <sheetViews>
    <sheetView view="pageBreakPreview" zoomScaleSheetLayoutView="100" workbookViewId="0">
      <selection activeCell="K10" sqref="K10"/>
    </sheetView>
  </sheetViews>
  <sheetFormatPr defaultColWidth="9.140625" defaultRowHeight="16.5" customHeight="1" x14ac:dyDescent="0.2"/>
  <cols>
    <col min="1" max="1" width="50.42578125" style="43" customWidth="1"/>
    <col min="2" max="6" width="10.5703125" style="43" customWidth="1"/>
    <col min="7" max="7" width="2.5703125" style="589" customWidth="1"/>
    <col min="8" max="8" width="10.5703125" style="756" customWidth="1"/>
    <col min="9" max="9" width="12.42578125" style="36" bestFit="1" customWidth="1"/>
    <col min="10" max="14" width="10.5703125" style="36" customWidth="1"/>
    <col min="15" max="15" width="8.5703125" style="1169" customWidth="1"/>
    <col min="16" max="26" width="8.5703125" style="793" customWidth="1"/>
    <col min="27" max="256" width="8.5703125" style="43" customWidth="1"/>
    <col min="257" max="16384" width="9.140625" style="43"/>
  </cols>
  <sheetData>
    <row r="1" spans="1:26" s="861" customFormat="1" ht="16.5" customHeight="1" x14ac:dyDescent="0.2">
      <c r="A1" s="860" t="s">
        <v>492</v>
      </c>
      <c r="H1" s="862"/>
      <c r="I1" s="863"/>
      <c r="J1" s="863"/>
      <c r="K1" s="863"/>
      <c r="L1" s="863"/>
      <c r="M1" s="863"/>
      <c r="N1" s="863"/>
      <c r="O1" s="777" t="s">
        <v>1075</v>
      </c>
      <c r="P1" s="777" t="s">
        <v>1075</v>
      </c>
      <c r="Q1" s="777" t="s">
        <v>1075</v>
      </c>
      <c r="R1" s="777" t="s">
        <v>1075</v>
      </c>
      <c r="S1" s="777" t="s">
        <v>1075</v>
      </c>
      <c r="T1" s="777" t="s">
        <v>1075</v>
      </c>
      <c r="U1" s="777" t="s">
        <v>1075</v>
      </c>
      <c r="V1" s="777" t="s">
        <v>1075</v>
      </c>
      <c r="W1" s="777" t="s">
        <v>1075</v>
      </c>
      <c r="X1" s="777" t="s">
        <v>1075</v>
      </c>
      <c r="Y1" s="777" t="s">
        <v>1075</v>
      </c>
      <c r="Z1" s="777" t="s">
        <v>1075</v>
      </c>
    </row>
    <row r="2" spans="1:26" s="219" customFormat="1" ht="16.5" customHeight="1" x14ac:dyDescent="0.2">
      <c r="H2" s="587"/>
      <c r="I2" s="82"/>
      <c r="J2" s="82"/>
      <c r="K2" s="82"/>
      <c r="L2" s="82"/>
      <c r="M2" s="82"/>
      <c r="N2" s="82"/>
      <c r="O2" s="1169"/>
      <c r="P2" s="793"/>
      <c r="Q2" s="793"/>
      <c r="R2" s="793"/>
      <c r="S2" s="793"/>
      <c r="T2" s="793"/>
      <c r="U2" s="793"/>
      <c r="V2" s="793"/>
      <c r="W2" s="793"/>
      <c r="X2" s="793"/>
      <c r="Y2" s="793"/>
      <c r="Z2" s="793"/>
    </row>
    <row r="3" spans="1:26" s="219" customFormat="1" ht="16.5" customHeight="1" x14ac:dyDescent="0.2">
      <c r="H3" s="587"/>
      <c r="I3" s="82"/>
      <c r="J3" s="82"/>
      <c r="K3" s="82"/>
      <c r="L3" s="82"/>
      <c r="M3" s="82"/>
      <c r="N3" s="82"/>
      <c r="O3" s="1169"/>
      <c r="P3" s="793"/>
      <c r="Q3" s="793"/>
      <c r="R3" s="793"/>
      <c r="S3" s="793"/>
      <c r="T3" s="793"/>
      <c r="U3" s="793"/>
      <c r="V3" s="793"/>
      <c r="W3" s="793"/>
      <c r="X3" s="793"/>
      <c r="Y3" s="793"/>
      <c r="Z3" s="793"/>
    </row>
    <row r="4" spans="1:26" s="219" customFormat="1" ht="16.5" customHeight="1" x14ac:dyDescent="0.2">
      <c r="H4" s="587"/>
      <c r="I4" s="82"/>
      <c r="J4" s="82"/>
      <c r="K4" s="82"/>
      <c r="L4" s="82"/>
      <c r="M4" s="82"/>
      <c r="N4" s="82"/>
      <c r="O4" s="1169"/>
      <c r="P4" s="793"/>
      <c r="Q4" s="793"/>
      <c r="R4" s="793"/>
      <c r="S4" s="793"/>
      <c r="T4" s="793"/>
      <c r="U4" s="793"/>
      <c r="V4" s="793"/>
      <c r="W4" s="793"/>
      <c r="X4" s="793"/>
      <c r="Y4" s="793"/>
      <c r="Z4" s="793"/>
    </row>
    <row r="5" spans="1:26" s="219" customFormat="1" ht="16.5" customHeight="1" x14ac:dyDescent="0.2">
      <c r="H5" s="846"/>
      <c r="I5" s="551" t="s">
        <v>283</v>
      </c>
      <c r="J5" s="553"/>
      <c r="K5" s="553"/>
      <c r="L5" s="553"/>
      <c r="M5" s="553"/>
      <c r="N5" s="554"/>
      <c r="O5" s="1169"/>
      <c r="P5" s="793"/>
      <c r="Q5" s="793"/>
      <c r="R5" s="793"/>
      <c r="S5" s="793"/>
      <c r="T5" s="793"/>
      <c r="U5" s="793"/>
      <c r="V5" s="793"/>
      <c r="W5" s="793"/>
      <c r="X5" s="793"/>
      <c r="Y5" s="793"/>
      <c r="Z5" s="793"/>
    </row>
    <row r="6" spans="1:26" s="219" customFormat="1" ht="16.5" customHeight="1" x14ac:dyDescent="0.2">
      <c r="H6" s="845"/>
      <c r="I6" s="552" t="s">
        <v>284</v>
      </c>
      <c r="J6" s="1271" t="s">
        <v>1086</v>
      </c>
      <c r="K6" s="1277" t="s">
        <v>1082</v>
      </c>
      <c r="L6" s="1277" t="s">
        <v>1081</v>
      </c>
      <c r="M6" s="1271" t="s">
        <v>1084</v>
      </c>
      <c r="N6" s="1277" t="s">
        <v>1088</v>
      </c>
      <c r="O6" s="1169"/>
      <c r="P6" s="793"/>
      <c r="Q6" s="793"/>
      <c r="R6" s="793"/>
      <c r="S6" s="793"/>
      <c r="T6" s="793"/>
      <c r="U6" s="793"/>
      <c r="V6" s="793"/>
      <c r="W6" s="793"/>
      <c r="X6" s="793"/>
      <c r="Y6" s="793"/>
      <c r="Z6" s="793"/>
    </row>
    <row r="7" spans="1:26" s="219" customFormat="1" ht="16.5" customHeight="1" x14ac:dyDescent="0.2">
      <c r="H7" s="845" t="s">
        <v>804</v>
      </c>
      <c r="I7" s="872">
        <f>'Financial Ratios'!L140</f>
        <v>818</v>
      </c>
      <c r="J7" s="872">
        <f>'Financial Ratios'!M140</f>
        <v>80.099999999999994</v>
      </c>
      <c r="K7" s="872">
        <f>'Financial Ratios'!N140</f>
        <v>67.8</v>
      </c>
      <c r="L7" s="872">
        <f>'Financial Ratios'!O140</f>
        <v>650.9</v>
      </c>
      <c r="M7" s="872">
        <f>'Financial Ratios'!P140</f>
        <v>611</v>
      </c>
      <c r="N7" s="872" t="str">
        <f>'Financial Ratios'!Q140</f>
        <v xml:space="preserve"> </v>
      </c>
      <c r="O7" s="1169"/>
      <c r="P7" s="793"/>
      <c r="Q7" s="793"/>
      <c r="R7" s="793"/>
      <c r="S7" s="793"/>
      <c r="T7" s="793"/>
      <c r="U7" s="793"/>
      <c r="V7" s="793"/>
      <c r="W7" s="793"/>
      <c r="X7" s="793"/>
      <c r="Y7" s="793"/>
      <c r="Z7" s="793"/>
    </row>
    <row r="8" spans="1:26" ht="16.5" customHeight="1" x14ac:dyDescent="0.2">
      <c r="A8" s="219"/>
      <c r="B8" s="219"/>
      <c r="C8" s="219"/>
      <c r="D8" s="219"/>
      <c r="E8" s="219"/>
      <c r="F8" s="219"/>
      <c r="G8" s="219"/>
      <c r="H8" s="845" t="s">
        <v>805</v>
      </c>
      <c r="I8" s="864">
        <f>'Financial Ratios'!L129</f>
        <v>26.87</v>
      </c>
      <c r="J8" s="864">
        <f>'Financial Ratios'!M129</f>
        <v>27.28</v>
      </c>
      <c r="K8" s="864">
        <f>'Financial Ratios'!N129</f>
        <v>75.41</v>
      </c>
      <c r="L8" s="864">
        <f>'Financial Ratios'!O129</f>
        <v>41.52</v>
      </c>
      <c r="M8" s="864">
        <f>'Financial Ratios'!P129</f>
        <v>7.52</v>
      </c>
      <c r="N8" s="864"/>
    </row>
    <row r="9" spans="1:26" ht="16.5" customHeight="1" x14ac:dyDescent="0.2">
      <c r="A9" s="1392" t="s">
        <v>708</v>
      </c>
      <c r="B9" s="1394" t="s">
        <v>278</v>
      </c>
      <c r="C9" s="1395"/>
      <c r="D9" s="1396"/>
      <c r="E9" s="1397" t="s">
        <v>737</v>
      </c>
      <c r="F9" s="1397" t="s">
        <v>279</v>
      </c>
      <c r="G9" s="219"/>
      <c r="H9" s="845" t="s">
        <v>806</v>
      </c>
      <c r="I9" s="191">
        <f t="shared" ref="I9:M9" si="0">I7*I8</f>
        <v>21979.66</v>
      </c>
      <c r="J9" s="191">
        <f t="shared" si="0"/>
        <v>2185.1280000000002</v>
      </c>
      <c r="K9" s="191">
        <f t="shared" si="0"/>
        <v>5112.7979999999998</v>
      </c>
      <c r="L9" s="191">
        <f t="shared" si="0"/>
        <v>27025.368000000002</v>
      </c>
      <c r="M9" s="191">
        <f t="shared" si="0"/>
        <v>4594.7199999999993</v>
      </c>
      <c r="N9" s="191"/>
    </row>
    <row r="10" spans="1:26" ht="26.25" customHeight="1" x14ac:dyDescent="0.2">
      <c r="A10" s="1393"/>
      <c r="B10" s="550" t="s">
        <v>45</v>
      </c>
      <c r="C10" s="550" t="s">
        <v>280</v>
      </c>
      <c r="D10" s="550" t="s">
        <v>281</v>
      </c>
      <c r="E10" s="1398"/>
      <c r="F10" s="1399"/>
      <c r="G10" s="219"/>
      <c r="H10" s="845" t="s">
        <v>807</v>
      </c>
      <c r="I10" s="191">
        <f>'Financial Ratios'!L142</f>
        <v>2545</v>
      </c>
      <c r="J10" s="191">
        <f>'Financial Ratios'!M142</f>
        <v>2433</v>
      </c>
      <c r="K10" s="191">
        <f>'Financial Ratios'!N142</f>
        <v>1795</v>
      </c>
      <c r="L10" s="191">
        <f>'Financial Ratios'!O142</f>
        <v>6080</v>
      </c>
      <c r="M10" s="191">
        <f>'Financial Ratios'!P142</f>
        <v>1309</v>
      </c>
      <c r="N10" s="191" t="str">
        <f>'Financial Ratios'!Q142</f>
        <v xml:space="preserve"> </v>
      </c>
    </row>
    <row r="11" spans="1:26" ht="17.25" customHeight="1" x14ac:dyDescent="0.2">
      <c r="A11" s="185" t="s">
        <v>285</v>
      </c>
      <c r="B11" s="191">
        <f>'RI Model'!H45</f>
        <v>6978</v>
      </c>
      <c r="C11" s="192">
        <f>'Common-size FS'!G66</f>
        <v>190.1</v>
      </c>
      <c r="D11" s="188">
        <f>ROUND(B11/C11,0)</f>
        <v>37</v>
      </c>
      <c r="E11" s="189" t="s">
        <v>282</v>
      </c>
      <c r="F11" s="189" t="s">
        <v>282</v>
      </c>
      <c r="G11" s="219"/>
      <c r="H11" s="845" t="s">
        <v>808</v>
      </c>
      <c r="I11" s="844">
        <f>I9/I10</f>
        <v>8.6364086444007864</v>
      </c>
      <c r="J11" s="844">
        <f>J9/J10</f>
        <v>0.89812083847102353</v>
      </c>
      <c r="K11" s="844">
        <f>K9/K10</f>
        <v>2.8483554317548747</v>
      </c>
      <c r="L11" s="844">
        <f>L9/L10</f>
        <v>4.4449618421052639</v>
      </c>
      <c r="M11" s="844">
        <f>M9/M10</f>
        <v>3.5100993124522533</v>
      </c>
      <c r="N11" s="844"/>
    </row>
    <row r="12" spans="1:26" ht="17.25" customHeight="1" x14ac:dyDescent="0.2">
      <c r="A12" s="185" t="s">
        <v>799</v>
      </c>
      <c r="B12" s="191">
        <f>C12*D12</f>
        <v>9735.0210000000006</v>
      </c>
      <c r="C12" s="187">
        <f>C11</f>
        <v>190.1</v>
      </c>
      <c r="D12" s="864">
        <f>'Financial Ratios'!G129</f>
        <v>51.21</v>
      </c>
      <c r="E12" s="191">
        <f>I9</f>
        <v>21979.66</v>
      </c>
      <c r="F12" s="191">
        <f>SUM(B12,I9:N9)</f>
        <v>70632.695000000007</v>
      </c>
      <c r="G12" s="219"/>
      <c r="H12" s="845" t="s">
        <v>747</v>
      </c>
      <c r="I12" s="864">
        <f>'Financial Ratios'!L134</f>
        <v>2.23</v>
      </c>
      <c r="J12" s="864">
        <f>'Financial Ratios'!M134</f>
        <v>0.71</v>
      </c>
      <c r="K12" s="864">
        <f>'Financial Ratios'!N134</f>
        <v>7.79</v>
      </c>
      <c r="L12" s="864">
        <f>'Financial Ratios'!O134</f>
        <v>3.22</v>
      </c>
      <c r="M12" s="864">
        <f>'Financial Ratios'!P134</f>
        <v>8.5</v>
      </c>
      <c r="N12" s="864" t="str">
        <f>'Financial Ratios'!Q134</f>
        <v xml:space="preserve"> </v>
      </c>
    </row>
    <row r="13" spans="1:26" ht="17.25" customHeight="1" x14ac:dyDescent="0.2">
      <c r="A13" s="185" t="s">
        <v>803</v>
      </c>
      <c r="B13" s="186">
        <f>'RI Model'!G30</f>
        <v>871</v>
      </c>
      <c r="C13" s="187">
        <f>C11</f>
        <v>190.1</v>
      </c>
      <c r="D13" s="188">
        <f>B13/C13</f>
        <v>4.5817990531299317</v>
      </c>
      <c r="E13" s="191">
        <f>I10</f>
        <v>2545</v>
      </c>
      <c r="F13" s="191">
        <f>SUM(B13,I10:N10)</f>
        <v>15033</v>
      </c>
      <c r="G13" s="219"/>
      <c r="H13" s="845" t="s">
        <v>809</v>
      </c>
      <c r="I13" s="844">
        <f>IF(I12&lt;0.01,0,I8/I12)</f>
        <v>12.04932735426009</v>
      </c>
      <c r="J13" s="844">
        <f t="shared" ref="J13:M13" si="1">IF(J12&lt;0.01,0,J8/J12)</f>
        <v>38.422535211267608</v>
      </c>
      <c r="K13" s="844">
        <f t="shared" si="1"/>
        <v>9.6803594351732993</v>
      </c>
      <c r="L13" s="844">
        <f t="shared" si="1"/>
        <v>12.894409937888199</v>
      </c>
      <c r="M13" s="844">
        <f t="shared" si="1"/>
        <v>0.88470588235294112</v>
      </c>
      <c r="N13" s="844"/>
    </row>
    <row r="14" spans="1:26" ht="17.25" customHeight="1" x14ac:dyDescent="0.2">
      <c r="A14" s="185" t="s">
        <v>800</v>
      </c>
      <c r="B14" s="189" t="s">
        <v>282</v>
      </c>
      <c r="C14" s="190" t="s">
        <v>282</v>
      </c>
      <c r="D14" s="1156">
        <f>IF(B13&lt;0,"NM",D12/D13)</f>
        <v>11.176832376578645</v>
      </c>
      <c r="E14" s="187">
        <f>I11</f>
        <v>8.6364086444007864</v>
      </c>
      <c r="F14" s="187">
        <f>AVERAGE(D14,I11:N11)</f>
        <v>5.2524630742938081</v>
      </c>
      <c r="G14" s="219"/>
      <c r="H14" s="859" t="s">
        <v>835</v>
      </c>
    </row>
    <row r="15" spans="1:26" ht="17.25" customHeight="1" x14ac:dyDescent="0.2">
      <c r="A15" s="185" t="s">
        <v>801</v>
      </c>
      <c r="B15" s="186">
        <f>'RI Model'!H24</f>
        <v>520</v>
      </c>
      <c r="C15" s="187">
        <f>AVERAGE('Projected FS'!F157,'Projected FS'!F160)</f>
        <v>190.1</v>
      </c>
      <c r="D15" s="188">
        <f>B15/C15</f>
        <v>2.7354024197790636</v>
      </c>
      <c r="E15" s="189" t="s">
        <v>282</v>
      </c>
      <c r="F15" s="189" t="s">
        <v>282</v>
      </c>
      <c r="G15" s="219"/>
      <c r="H15" s="859" t="s">
        <v>837</v>
      </c>
    </row>
    <row r="16" spans="1:26" ht="17.25" x14ac:dyDescent="0.2">
      <c r="A16" s="185" t="s">
        <v>802</v>
      </c>
      <c r="B16" s="189" t="s">
        <v>282</v>
      </c>
      <c r="C16" s="190" t="s">
        <v>282</v>
      </c>
      <c r="D16" s="1156">
        <f>IF(B15&lt;0.01,"NM",D12/D15)</f>
        <v>18.721194230769232</v>
      </c>
      <c r="E16" s="192">
        <f>I13</f>
        <v>12.04932735426009</v>
      </c>
      <c r="F16" s="192">
        <f>AVERAGE(D16,I13:M13)</f>
        <v>15.442088675285229</v>
      </c>
      <c r="G16" s="219"/>
      <c r="H16" s="859" t="s">
        <v>838</v>
      </c>
    </row>
    <row r="17" spans="1:26" ht="16.5" customHeight="1" x14ac:dyDescent="0.2">
      <c r="G17" s="219"/>
      <c r="H17" s="859" t="s">
        <v>828</v>
      </c>
    </row>
    <row r="18" spans="1:26" ht="16.5" customHeight="1" x14ac:dyDescent="0.2">
      <c r="A18" s="43" t="s">
        <v>738</v>
      </c>
      <c r="G18" s="219"/>
      <c r="H18" s="859" t="s">
        <v>836</v>
      </c>
    </row>
    <row r="19" spans="1:26" ht="16.5" customHeight="1" x14ac:dyDescent="0.2">
      <c r="A19" s="43" t="s">
        <v>739</v>
      </c>
      <c r="G19" s="219"/>
      <c r="H19" s="859" t="s">
        <v>827</v>
      </c>
    </row>
    <row r="20" spans="1:26" ht="16.5" customHeight="1" x14ac:dyDescent="0.2">
      <c r="G20" s="219"/>
      <c r="H20" s="859" t="s">
        <v>764</v>
      </c>
      <c r="I20" s="82"/>
      <c r="J20" s="82"/>
      <c r="K20" s="82"/>
      <c r="L20" s="82"/>
      <c r="M20" s="82"/>
      <c r="N20" s="82"/>
    </row>
    <row r="21" spans="1:26" ht="16.5" customHeight="1" x14ac:dyDescent="0.2">
      <c r="G21" s="219"/>
      <c r="H21" s="859" t="s">
        <v>826</v>
      </c>
      <c r="I21" s="82"/>
      <c r="J21" s="82"/>
      <c r="K21" s="82"/>
      <c r="L21" s="82"/>
      <c r="M21" s="82"/>
      <c r="N21" s="82"/>
    </row>
    <row r="22" spans="1:26" s="219" customFormat="1" ht="16.5" customHeight="1" x14ac:dyDescent="0.2">
      <c r="B22" s="43"/>
      <c r="C22" s="43"/>
      <c r="D22" s="43"/>
      <c r="E22" s="43"/>
      <c r="F22" s="43"/>
      <c r="H22" s="859" t="s">
        <v>810</v>
      </c>
      <c r="I22" s="82"/>
      <c r="J22" s="82"/>
      <c r="K22" s="82"/>
      <c r="L22" s="82"/>
      <c r="M22" s="82"/>
      <c r="N22" s="82"/>
      <c r="O22" s="1169"/>
      <c r="P22" s="793"/>
      <c r="Q22" s="793"/>
      <c r="R22" s="793"/>
      <c r="S22" s="793"/>
      <c r="T22" s="793"/>
      <c r="U22" s="793"/>
      <c r="V22" s="793"/>
      <c r="W22" s="793"/>
      <c r="X22" s="793"/>
      <c r="Y22" s="793"/>
      <c r="Z22" s="793"/>
    </row>
    <row r="23" spans="1:26" s="219" customFormat="1" ht="16.5" customHeight="1" x14ac:dyDescent="0.2">
      <c r="B23" s="43"/>
      <c r="C23" s="43"/>
      <c r="D23" s="43"/>
      <c r="E23" s="43"/>
      <c r="F23" s="43"/>
      <c r="G23" s="589"/>
      <c r="H23" s="859"/>
      <c r="I23" s="82"/>
      <c r="J23" s="82"/>
      <c r="K23" s="82"/>
      <c r="L23" s="82"/>
      <c r="M23" s="82"/>
      <c r="N23" s="82"/>
      <c r="O23" s="1169"/>
      <c r="P23" s="793"/>
      <c r="Q23" s="793"/>
      <c r="R23" s="793"/>
      <c r="S23" s="793"/>
      <c r="T23" s="793"/>
      <c r="U23" s="793"/>
      <c r="V23" s="793"/>
      <c r="W23" s="793"/>
      <c r="X23" s="793"/>
      <c r="Y23" s="793"/>
      <c r="Z23" s="793"/>
    </row>
    <row r="24" spans="1:26" s="219" customFormat="1" ht="16.5" customHeight="1" x14ac:dyDescent="0.2">
      <c r="B24" s="43"/>
      <c r="C24" s="43"/>
      <c r="D24" s="43"/>
      <c r="E24" s="43"/>
      <c r="F24" s="43"/>
      <c r="G24" s="589"/>
      <c r="H24" s="859"/>
      <c r="I24" s="82"/>
      <c r="J24" s="82"/>
      <c r="K24" s="82"/>
      <c r="L24" s="82"/>
      <c r="M24" s="82"/>
      <c r="N24" s="82"/>
      <c r="O24" s="1169"/>
      <c r="P24" s="793"/>
      <c r="Q24" s="793"/>
      <c r="R24" s="793"/>
      <c r="S24" s="793"/>
      <c r="T24" s="793"/>
      <c r="U24" s="793"/>
      <c r="V24" s="793"/>
      <c r="W24" s="793"/>
      <c r="X24" s="793"/>
      <c r="Y24" s="793"/>
      <c r="Z24" s="793"/>
    </row>
    <row r="25" spans="1:26" s="219" customFormat="1" ht="16.5" customHeight="1" x14ac:dyDescent="0.2">
      <c r="B25" s="43"/>
      <c r="C25" s="43"/>
      <c r="D25" s="43"/>
      <c r="E25" s="43"/>
      <c r="F25" s="43"/>
      <c r="G25" s="589"/>
      <c r="I25" s="82"/>
      <c r="J25" s="82"/>
      <c r="K25" s="82"/>
      <c r="L25" s="82"/>
      <c r="M25" s="82"/>
      <c r="N25" s="82"/>
      <c r="O25" s="1169"/>
      <c r="P25" s="793"/>
      <c r="Q25" s="793"/>
      <c r="R25" s="793"/>
      <c r="S25" s="793"/>
      <c r="T25" s="793"/>
      <c r="U25" s="793"/>
      <c r="V25" s="793"/>
      <c r="W25" s="793"/>
      <c r="X25" s="793"/>
      <c r="Y25" s="793"/>
      <c r="Z25" s="793"/>
    </row>
    <row r="26" spans="1:26" s="219" customFormat="1" ht="16.5" customHeight="1" x14ac:dyDescent="0.2">
      <c r="B26" s="43"/>
      <c r="C26" s="43"/>
      <c r="D26" s="43"/>
      <c r="E26" s="43"/>
      <c r="F26" s="43"/>
      <c r="G26" s="589"/>
      <c r="H26" s="859"/>
      <c r="I26" s="82"/>
      <c r="J26" s="82"/>
      <c r="K26" s="82"/>
      <c r="L26" s="82"/>
      <c r="M26" s="82"/>
      <c r="N26" s="82"/>
      <c r="O26" s="1169"/>
      <c r="P26" s="793"/>
      <c r="Q26" s="793"/>
      <c r="R26" s="793"/>
      <c r="S26" s="793"/>
      <c r="T26" s="793"/>
      <c r="U26" s="793"/>
      <c r="V26" s="793"/>
      <c r="W26" s="793"/>
      <c r="X26" s="793"/>
      <c r="Y26" s="793"/>
      <c r="Z26" s="793"/>
    </row>
    <row r="27" spans="1:26" s="219" customFormat="1" ht="16.5" customHeight="1" x14ac:dyDescent="0.2">
      <c r="B27" s="43"/>
      <c r="C27" s="43"/>
      <c r="D27" s="43"/>
      <c r="E27" s="43"/>
      <c r="F27" s="43"/>
      <c r="G27" s="589"/>
      <c r="H27" s="859"/>
      <c r="I27" s="82"/>
      <c r="J27" s="82"/>
      <c r="K27" s="82"/>
      <c r="L27" s="82"/>
      <c r="M27" s="82"/>
      <c r="N27" s="82"/>
      <c r="O27" s="1169"/>
      <c r="P27" s="793"/>
      <c r="Q27" s="793"/>
      <c r="R27" s="793"/>
      <c r="S27" s="793"/>
      <c r="T27" s="793"/>
      <c r="U27" s="793"/>
      <c r="V27" s="793"/>
      <c r="W27" s="793"/>
      <c r="X27" s="793"/>
      <c r="Y27" s="793"/>
      <c r="Z27" s="793"/>
    </row>
    <row r="28" spans="1:26" s="219" customFormat="1" ht="16.5" customHeight="1" x14ac:dyDescent="0.2">
      <c r="B28" s="43"/>
      <c r="C28" s="43"/>
      <c r="D28" s="43"/>
      <c r="E28" s="43"/>
      <c r="F28" s="43"/>
      <c r="G28" s="589"/>
      <c r="H28" s="859"/>
      <c r="I28" s="82"/>
      <c r="J28" s="82"/>
      <c r="K28" s="82"/>
      <c r="L28" s="82"/>
      <c r="M28" s="82"/>
      <c r="N28" s="82"/>
      <c r="O28" s="1169"/>
      <c r="P28" s="793"/>
      <c r="Q28" s="793"/>
      <c r="R28" s="793"/>
      <c r="S28" s="793"/>
      <c r="T28" s="793"/>
      <c r="U28" s="793"/>
      <c r="V28" s="793"/>
      <c r="W28" s="793"/>
      <c r="X28" s="793"/>
      <c r="Y28" s="793"/>
      <c r="Z28" s="793"/>
    </row>
    <row r="29" spans="1:26" s="219" customFormat="1" ht="16.5" customHeight="1" x14ac:dyDescent="0.2">
      <c r="B29" s="43"/>
      <c r="C29" s="43"/>
      <c r="D29" s="43"/>
      <c r="E29" s="43"/>
      <c r="F29" s="43"/>
      <c r="G29" s="589"/>
      <c r="H29" s="587"/>
      <c r="I29" s="82"/>
      <c r="J29" s="82"/>
      <c r="K29" s="82"/>
      <c r="L29" s="82"/>
      <c r="M29" s="82"/>
      <c r="N29" s="82"/>
      <c r="O29" s="1169"/>
      <c r="P29" s="793"/>
      <c r="Q29" s="793"/>
      <c r="R29" s="793"/>
      <c r="S29" s="793"/>
      <c r="T29" s="793"/>
      <c r="U29" s="793"/>
      <c r="V29" s="793"/>
      <c r="W29" s="793"/>
      <c r="X29" s="793"/>
      <c r="Y29" s="793"/>
      <c r="Z29" s="793"/>
    </row>
    <row r="30" spans="1:26" s="219" customFormat="1" ht="16.5" customHeight="1" x14ac:dyDescent="0.2">
      <c r="G30" s="589"/>
      <c r="H30" s="587"/>
      <c r="I30" s="82"/>
      <c r="J30" s="82"/>
      <c r="K30" s="82"/>
      <c r="L30" s="82"/>
      <c r="M30" s="82"/>
      <c r="N30" s="82"/>
      <c r="O30" s="1169"/>
      <c r="P30" s="793"/>
      <c r="Q30" s="793"/>
      <c r="R30" s="793"/>
      <c r="S30" s="793"/>
      <c r="T30" s="793"/>
      <c r="U30" s="793"/>
      <c r="V30" s="793"/>
      <c r="W30" s="793"/>
      <c r="X30" s="793"/>
      <c r="Y30" s="793"/>
      <c r="Z30" s="793"/>
    </row>
    <row r="31" spans="1:26" s="219" customFormat="1" ht="16.5" customHeight="1" x14ac:dyDescent="0.2">
      <c r="G31" s="589"/>
      <c r="H31" s="587"/>
      <c r="I31" s="82"/>
      <c r="J31" s="82"/>
      <c r="K31" s="82"/>
      <c r="L31" s="82"/>
      <c r="M31" s="82"/>
      <c r="N31" s="82"/>
      <c r="O31" s="1169"/>
      <c r="P31" s="793"/>
      <c r="Q31" s="793"/>
      <c r="R31" s="793"/>
      <c r="S31" s="793"/>
      <c r="T31" s="793"/>
      <c r="U31" s="793"/>
      <c r="V31" s="793"/>
      <c r="W31" s="793"/>
      <c r="X31" s="793"/>
      <c r="Y31" s="793"/>
      <c r="Z31" s="793"/>
    </row>
    <row r="32" spans="1:26" s="219" customFormat="1" ht="16.5" customHeight="1" x14ac:dyDescent="0.2">
      <c r="G32" s="589"/>
      <c r="H32" s="587"/>
      <c r="I32" s="82"/>
      <c r="J32" s="82"/>
      <c r="K32" s="82"/>
      <c r="L32" s="82"/>
      <c r="M32" s="82"/>
      <c r="N32" s="82"/>
      <c r="O32" s="1169"/>
      <c r="P32" s="793"/>
      <c r="Q32" s="793"/>
      <c r="R32" s="793"/>
      <c r="S32" s="793"/>
      <c r="T32" s="793"/>
      <c r="U32" s="793"/>
      <c r="V32" s="793"/>
      <c r="W32" s="793"/>
      <c r="X32" s="793"/>
      <c r="Y32" s="793"/>
      <c r="Z32" s="793"/>
    </row>
    <row r="33" spans="7:26" s="219" customFormat="1" ht="16.5" customHeight="1" x14ac:dyDescent="0.2">
      <c r="G33" s="589"/>
      <c r="H33" s="587"/>
      <c r="I33" s="82"/>
      <c r="J33" s="82"/>
      <c r="K33" s="82"/>
      <c r="L33" s="82"/>
      <c r="M33" s="82"/>
      <c r="N33" s="82"/>
      <c r="O33" s="1169"/>
      <c r="P33" s="793"/>
      <c r="Q33" s="793"/>
      <c r="R33" s="793"/>
      <c r="S33" s="793"/>
      <c r="T33" s="793"/>
      <c r="U33" s="793"/>
      <c r="V33" s="793"/>
      <c r="W33" s="793"/>
      <c r="X33" s="793"/>
      <c r="Y33" s="793"/>
      <c r="Z33" s="793"/>
    </row>
    <row r="34" spans="7:26" s="219" customFormat="1" ht="16.5" customHeight="1" x14ac:dyDescent="0.2">
      <c r="G34" s="589"/>
      <c r="H34" s="587"/>
      <c r="I34" s="82"/>
      <c r="J34" s="82"/>
      <c r="K34" s="82"/>
      <c r="L34" s="82"/>
      <c r="M34" s="82"/>
      <c r="N34" s="82"/>
      <c r="O34" s="1169"/>
      <c r="P34" s="793"/>
      <c r="Q34" s="793"/>
      <c r="R34" s="793"/>
      <c r="S34" s="793"/>
      <c r="T34" s="793"/>
      <c r="U34" s="793"/>
      <c r="V34" s="793"/>
      <c r="W34" s="793"/>
      <c r="X34" s="793"/>
      <c r="Y34" s="793"/>
      <c r="Z34" s="793"/>
    </row>
    <row r="35" spans="7:26" s="219" customFormat="1" ht="16.5" customHeight="1" x14ac:dyDescent="0.2">
      <c r="G35" s="589"/>
      <c r="H35" s="587"/>
      <c r="I35" s="82"/>
      <c r="J35" s="82"/>
      <c r="K35" s="82"/>
      <c r="L35" s="82"/>
      <c r="M35" s="82"/>
      <c r="N35" s="82"/>
      <c r="O35" s="1169"/>
      <c r="P35" s="793"/>
      <c r="Q35" s="793"/>
      <c r="R35" s="793"/>
      <c r="S35" s="793"/>
      <c r="T35" s="793"/>
      <c r="U35" s="793"/>
      <c r="V35" s="793"/>
      <c r="W35" s="793"/>
      <c r="X35" s="793"/>
      <c r="Y35" s="793"/>
      <c r="Z35" s="793"/>
    </row>
    <row r="36" spans="7:26" s="219" customFormat="1" ht="16.5" customHeight="1" x14ac:dyDescent="0.2">
      <c r="G36" s="589"/>
      <c r="H36" s="587"/>
      <c r="I36" s="82"/>
      <c r="J36" s="82"/>
      <c r="K36" s="82"/>
      <c r="L36" s="82"/>
      <c r="M36" s="82"/>
      <c r="N36" s="82"/>
      <c r="O36" s="1169"/>
      <c r="P36" s="793"/>
      <c r="Q36" s="793"/>
      <c r="R36" s="793"/>
      <c r="S36" s="793"/>
      <c r="T36" s="793"/>
      <c r="U36" s="793"/>
      <c r="V36" s="793"/>
      <c r="W36" s="793"/>
      <c r="X36" s="793"/>
      <c r="Y36" s="793"/>
      <c r="Z36" s="793"/>
    </row>
    <row r="37" spans="7:26" s="219" customFormat="1" ht="16.5" customHeight="1" x14ac:dyDescent="0.2">
      <c r="G37" s="589"/>
      <c r="H37" s="587"/>
      <c r="I37" s="82"/>
      <c r="J37" s="82"/>
      <c r="K37" s="82"/>
      <c r="L37" s="82"/>
      <c r="M37" s="82"/>
      <c r="N37" s="82"/>
      <c r="O37" s="1169"/>
      <c r="P37" s="793"/>
      <c r="Q37" s="793"/>
      <c r="R37" s="793"/>
      <c r="S37" s="793"/>
      <c r="T37" s="793"/>
      <c r="U37" s="793"/>
      <c r="V37" s="793"/>
      <c r="W37" s="793"/>
      <c r="X37" s="793"/>
      <c r="Y37" s="793"/>
      <c r="Z37" s="793"/>
    </row>
    <row r="38" spans="7:26" s="219" customFormat="1" ht="16.5" customHeight="1" x14ac:dyDescent="0.2">
      <c r="G38" s="589"/>
      <c r="H38" s="587"/>
      <c r="I38" s="82"/>
      <c r="J38" s="82"/>
      <c r="K38" s="82"/>
      <c r="L38" s="82"/>
      <c r="M38" s="82"/>
      <c r="N38" s="82"/>
      <c r="O38" s="1169"/>
      <c r="P38" s="793"/>
      <c r="Q38" s="793"/>
      <c r="R38" s="793"/>
      <c r="S38" s="793"/>
      <c r="T38" s="793"/>
      <c r="U38" s="793"/>
      <c r="V38" s="793"/>
      <c r="W38" s="793"/>
      <c r="X38" s="793"/>
      <c r="Y38" s="793"/>
      <c r="Z38" s="793"/>
    </row>
    <row r="39" spans="7:26" s="219" customFormat="1" ht="16.5" customHeight="1" x14ac:dyDescent="0.2">
      <c r="G39" s="589"/>
      <c r="H39" s="587"/>
      <c r="I39" s="82"/>
      <c r="J39" s="82"/>
      <c r="K39" s="82"/>
      <c r="L39" s="82"/>
      <c r="M39" s="82"/>
      <c r="N39" s="82"/>
      <c r="O39" s="1169"/>
      <c r="P39" s="793"/>
      <c r="Q39" s="793"/>
      <c r="R39" s="793"/>
      <c r="S39" s="793"/>
      <c r="T39" s="793"/>
      <c r="U39" s="793"/>
      <c r="V39" s="793"/>
      <c r="W39" s="793"/>
      <c r="X39" s="793"/>
      <c r="Y39" s="793"/>
      <c r="Z39" s="793"/>
    </row>
    <row r="40" spans="7:26" s="219" customFormat="1" ht="16.5" customHeight="1" x14ac:dyDescent="0.2">
      <c r="G40" s="589"/>
      <c r="H40" s="587"/>
      <c r="I40" s="82"/>
      <c r="J40" s="82"/>
      <c r="K40" s="82"/>
      <c r="L40" s="82"/>
      <c r="M40" s="82"/>
      <c r="N40" s="82"/>
      <c r="O40" s="1169"/>
      <c r="P40" s="793"/>
      <c r="Q40" s="793"/>
      <c r="R40" s="793"/>
      <c r="S40" s="793"/>
      <c r="T40" s="793"/>
      <c r="U40" s="793"/>
      <c r="V40" s="793"/>
      <c r="W40" s="793"/>
      <c r="X40" s="793"/>
      <c r="Y40" s="793"/>
      <c r="Z40" s="793"/>
    </row>
    <row r="41" spans="7:26" s="219" customFormat="1" ht="16.5" customHeight="1" x14ac:dyDescent="0.2">
      <c r="G41" s="589"/>
      <c r="H41" s="587"/>
      <c r="I41" s="82"/>
      <c r="J41" s="82"/>
      <c r="K41" s="82"/>
      <c r="L41" s="82"/>
      <c r="M41" s="82"/>
      <c r="N41" s="82"/>
      <c r="O41" s="1169"/>
      <c r="P41" s="793"/>
      <c r="Q41" s="793"/>
      <c r="R41" s="793"/>
      <c r="S41" s="793"/>
      <c r="T41" s="793"/>
      <c r="U41" s="793"/>
      <c r="V41" s="793"/>
      <c r="W41" s="793"/>
      <c r="X41" s="793"/>
      <c r="Y41" s="793"/>
      <c r="Z41" s="793"/>
    </row>
    <row r="42" spans="7:26" s="219" customFormat="1" ht="16.5" customHeight="1" x14ac:dyDescent="0.2">
      <c r="G42" s="589"/>
      <c r="H42" s="587"/>
      <c r="I42" s="82"/>
      <c r="J42" s="82"/>
      <c r="K42" s="82"/>
      <c r="L42" s="82"/>
      <c r="M42" s="82"/>
      <c r="N42" s="82"/>
      <c r="O42" s="1169"/>
      <c r="P42" s="793"/>
      <c r="Q42" s="793"/>
      <c r="R42" s="793"/>
      <c r="S42" s="793"/>
      <c r="T42" s="793"/>
      <c r="U42" s="793"/>
      <c r="V42" s="793"/>
      <c r="W42" s="793"/>
      <c r="X42" s="793"/>
      <c r="Y42" s="793"/>
      <c r="Z42" s="793"/>
    </row>
    <row r="43" spans="7:26" s="219" customFormat="1" ht="16.5" customHeight="1" x14ac:dyDescent="0.2">
      <c r="G43" s="589"/>
      <c r="H43" s="587"/>
      <c r="I43" s="82"/>
      <c r="J43" s="82"/>
      <c r="K43" s="82"/>
      <c r="L43" s="82"/>
      <c r="M43" s="82"/>
      <c r="N43" s="82"/>
      <c r="O43" s="1169"/>
      <c r="P43" s="793"/>
      <c r="Q43" s="793"/>
      <c r="R43" s="793"/>
      <c r="S43" s="793"/>
      <c r="T43" s="793"/>
      <c r="U43" s="793"/>
      <c r="V43" s="793"/>
      <c r="W43" s="793"/>
      <c r="X43" s="793"/>
      <c r="Y43" s="793"/>
      <c r="Z43" s="793"/>
    </row>
    <row r="44" spans="7:26" s="219" customFormat="1" ht="16.5" customHeight="1" x14ac:dyDescent="0.2">
      <c r="G44" s="589"/>
      <c r="H44" s="587"/>
      <c r="I44" s="82"/>
      <c r="J44" s="82"/>
      <c r="K44" s="82"/>
      <c r="L44" s="82"/>
      <c r="M44" s="82"/>
      <c r="N44" s="82"/>
      <c r="O44" s="1169"/>
      <c r="P44" s="793"/>
      <c r="Q44" s="793"/>
      <c r="R44" s="793"/>
      <c r="S44" s="793"/>
      <c r="T44" s="793"/>
      <c r="U44" s="793"/>
      <c r="V44" s="793"/>
      <c r="W44" s="793"/>
      <c r="X44" s="793"/>
      <c r="Y44" s="793"/>
      <c r="Z44" s="793"/>
    </row>
    <row r="45" spans="7:26" s="219" customFormat="1" ht="16.5" customHeight="1" x14ac:dyDescent="0.2">
      <c r="G45" s="589"/>
      <c r="H45" s="587"/>
      <c r="I45" s="82"/>
      <c r="J45" s="82"/>
      <c r="K45" s="82"/>
      <c r="L45" s="82"/>
      <c r="M45" s="82"/>
      <c r="N45" s="82"/>
      <c r="O45" s="1169"/>
      <c r="P45" s="793"/>
      <c r="Q45" s="793"/>
      <c r="R45" s="793"/>
      <c r="S45" s="793"/>
      <c r="T45" s="793"/>
      <c r="U45" s="793"/>
      <c r="V45" s="793"/>
      <c r="W45" s="793"/>
      <c r="X45" s="793"/>
      <c r="Y45" s="793"/>
      <c r="Z45" s="793"/>
    </row>
    <row r="46" spans="7:26" s="219" customFormat="1" ht="16.5" customHeight="1" x14ac:dyDescent="0.2">
      <c r="G46" s="589"/>
      <c r="H46" s="587"/>
      <c r="I46" s="82"/>
      <c r="J46" s="82"/>
      <c r="K46" s="82"/>
      <c r="L46" s="82"/>
      <c r="M46" s="82"/>
      <c r="N46" s="82"/>
      <c r="O46" s="1169"/>
      <c r="P46" s="793"/>
      <c r="Q46" s="793"/>
      <c r="R46" s="793"/>
      <c r="S46" s="793"/>
      <c r="T46" s="793"/>
      <c r="U46" s="793"/>
      <c r="V46" s="793"/>
      <c r="W46" s="793"/>
      <c r="X46" s="793"/>
      <c r="Y46" s="793"/>
      <c r="Z46" s="793"/>
    </row>
    <row r="47" spans="7:26" s="219" customFormat="1" ht="16.5" customHeight="1" x14ac:dyDescent="0.2">
      <c r="G47" s="589"/>
      <c r="H47" s="587"/>
      <c r="I47" s="82"/>
      <c r="J47" s="82"/>
      <c r="K47" s="82"/>
      <c r="L47" s="82"/>
      <c r="M47" s="82"/>
      <c r="N47" s="82"/>
      <c r="O47" s="1169"/>
      <c r="P47" s="793"/>
      <c r="Q47" s="793"/>
      <c r="R47" s="793"/>
      <c r="S47" s="793"/>
      <c r="T47" s="793"/>
      <c r="U47" s="793"/>
      <c r="V47" s="793"/>
      <c r="W47" s="793"/>
      <c r="X47" s="793"/>
      <c r="Y47" s="793"/>
      <c r="Z47" s="793"/>
    </row>
    <row r="48" spans="7:26" s="219" customFormat="1" ht="16.5" customHeight="1" x14ac:dyDescent="0.2">
      <c r="G48" s="589"/>
      <c r="H48" s="587"/>
      <c r="I48" s="82"/>
      <c r="J48" s="82"/>
      <c r="K48" s="82"/>
      <c r="L48" s="82"/>
      <c r="M48" s="82"/>
      <c r="N48" s="82"/>
      <c r="O48" s="1169"/>
      <c r="P48" s="793"/>
      <c r="Q48" s="793"/>
      <c r="R48" s="793"/>
      <c r="S48" s="793"/>
      <c r="T48" s="793"/>
      <c r="U48" s="793"/>
      <c r="V48" s="793"/>
      <c r="W48" s="793"/>
      <c r="X48" s="793"/>
      <c r="Y48" s="793"/>
      <c r="Z48" s="793"/>
    </row>
    <row r="49" spans="7:26" s="219" customFormat="1" ht="16.5" customHeight="1" x14ac:dyDescent="0.2">
      <c r="G49" s="589"/>
      <c r="H49" s="587"/>
      <c r="I49" s="82"/>
      <c r="J49" s="82"/>
      <c r="K49" s="82"/>
      <c r="L49" s="82"/>
      <c r="M49" s="82"/>
      <c r="N49" s="82"/>
      <c r="O49" s="1169"/>
      <c r="P49" s="793"/>
      <c r="Q49" s="793"/>
      <c r="R49" s="793"/>
      <c r="S49" s="793"/>
      <c r="T49" s="793"/>
      <c r="U49" s="793"/>
      <c r="V49" s="793"/>
      <c r="W49" s="793"/>
      <c r="X49" s="793"/>
      <c r="Y49" s="793"/>
      <c r="Z49" s="793"/>
    </row>
  </sheetData>
  <mergeCells count="4">
    <mergeCell ref="A9:A10"/>
    <mergeCell ref="B9:D9"/>
    <mergeCell ref="E9:E10"/>
    <mergeCell ref="F9:F10"/>
  </mergeCells>
  <phoneticPr fontId="137" type="noConversion"/>
  <printOptions horizontalCentered="1"/>
  <pageMargins left="0.15" right="0.15" top="0.25" bottom="0.25" header="0.25" footer="0.25"/>
  <pageSetup scale="64" orientation="portrait" r:id="rId1"/>
  <ignoredErrors>
    <ignoredError sqref="E14" formula="1"/>
  </ignoredErrors>
  <drawing r:id="rId2"/>
  <legacyDrawing r:id="rId3"/>
  <extLst>
    <ext xmlns:mx="http://schemas.microsoft.com/office/mac/excel/2008/main" uri="http://schemas.microsoft.com/office/mac/excel/2008/main">
      <mx:PLV Mode="0" OnePage="0" WScale="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800080"/>
  </sheetPr>
  <dimension ref="A1:Z167"/>
  <sheetViews>
    <sheetView topLeftCell="A19" zoomScaleSheetLayoutView="100" workbookViewId="0">
      <selection activeCell="G44" sqref="G44"/>
    </sheetView>
  </sheetViews>
  <sheetFormatPr defaultColWidth="9.140625" defaultRowHeight="16.5" customHeight="1" x14ac:dyDescent="0.2"/>
  <cols>
    <col min="1" max="1" width="29.85546875" style="31" customWidth="1"/>
    <col min="2" max="2" width="9.140625" style="31"/>
    <col min="3" max="4" width="9.5703125" style="31" customWidth="1"/>
    <col min="5" max="5" width="9.5703125" style="32" customWidth="1"/>
    <col min="6" max="6" width="10.5703125" style="87" customWidth="1"/>
    <col min="7" max="8" width="8.5703125" style="87" customWidth="1"/>
    <col min="9" max="26" width="8.5703125" style="682" customWidth="1"/>
    <col min="27" max="256" width="8.5703125" style="31" customWidth="1"/>
    <col min="257" max="16384" width="9.140625" style="31"/>
  </cols>
  <sheetData>
    <row r="1" spans="1:26" s="1169" customFormat="1" ht="16.5" customHeight="1" x14ac:dyDescent="0.2">
      <c r="A1" s="1169" t="s">
        <v>1075</v>
      </c>
      <c r="B1" s="1169" t="s">
        <v>1075</v>
      </c>
      <c r="C1" s="1169" t="s">
        <v>1075</v>
      </c>
      <c r="D1" s="1169" t="s">
        <v>1075</v>
      </c>
      <c r="E1" s="677" t="s">
        <v>1075</v>
      </c>
      <c r="F1" s="1169" t="s">
        <v>1075</v>
      </c>
      <c r="G1" s="1169" t="s">
        <v>1075</v>
      </c>
      <c r="H1" s="1169" t="s">
        <v>1075</v>
      </c>
      <c r="I1" s="1169" t="s">
        <v>1075</v>
      </c>
      <c r="J1" s="1169" t="s">
        <v>1075</v>
      </c>
      <c r="K1" s="1169" t="s">
        <v>1075</v>
      </c>
      <c r="L1" s="1169" t="s">
        <v>1075</v>
      </c>
      <c r="M1" s="1169" t="s">
        <v>1075</v>
      </c>
      <c r="N1" s="1169" t="s">
        <v>1075</v>
      </c>
      <c r="O1" s="1169" t="s">
        <v>1075</v>
      </c>
      <c r="P1" s="1169" t="s">
        <v>1075</v>
      </c>
      <c r="Q1" s="1169" t="s">
        <v>1075</v>
      </c>
      <c r="R1" s="1169" t="s">
        <v>1075</v>
      </c>
      <c r="S1" s="1169" t="s">
        <v>1075</v>
      </c>
      <c r="T1" s="1169" t="s">
        <v>1075</v>
      </c>
      <c r="U1" s="1169" t="s">
        <v>1075</v>
      </c>
      <c r="V1" s="1169" t="s">
        <v>1075</v>
      </c>
      <c r="W1" s="1169" t="s">
        <v>1075</v>
      </c>
      <c r="X1" s="1169" t="s">
        <v>1075</v>
      </c>
      <c r="Y1" s="1169" t="s">
        <v>1075</v>
      </c>
      <c r="Z1" s="1169" t="s">
        <v>1075</v>
      </c>
    </row>
    <row r="2" spans="1:26" s="1169" customFormat="1" ht="16.5" customHeight="1" x14ac:dyDescent="0.2">
      <c r="E2" s="677"/>
    </row>
    <row r="3" spans="1:26" s="677" customFormat="1" ht="16.5" customHeight="1" x14ac:dyDescent="0.2"/>
    <row r="4" spans="1:26" s="677" customFormat="1" ht="16.5" customHeight="1" x14ac:dyDescent="0.2"/>
    <row r="5" spans="1:26" s="106" customFormat="1" ht="16.5" customHeight="1" x14ac:dyDescent="0.2">
      <c r="A5" s="422" t="s">
        <v>613</v>
      </c>
      <c r="D5" s="211" t="s">
        <v>614</v>
      </c>
      <c r="F5" s="211"/>
      <c r="G5" s="211"/>
      <c r="H5" s="585">
        <f>'BS Analysis Adjustments'!AP1</f>
        <v>2015</v>
      </c>
      <c r="I5" s="777"/>
      <c r="J5" s="777"/>
      <c r="K5" s="777"/>
      <c r="L5" s="777"/>
      <c r="M5" s="777"/>
      <c r="N5" s="777"/>
      <c r="O5" s="777"/>
      <c r="P5" s="777"/>
      <c r="Q5" s="777"/>
      <c r="R5" s="777"/>
      <c r="S5" s="777"/>
      <c r="T5" s="777"/>
      <c r="U5" s="777"/>
      <c r="V5" s="777"/>
      <c r="W5" s="777"/>
      <c r="X5" s="777"/>
      <c r="Y5" s="777"/>
      <c r="Z5" s="777"/>
    </row>
    <row r="6" spans="1:26" s="660" customFormat="1" ht="16.5" customHeight="1" x14ac:dyDescent="0.2">
      <c r="A6" s="659" t="s">
        <v>270</v>
      </c>
      <c r="B6" s="659"/>
      <c r="C6" s="1218"/>
      <c r="D6" s="1218"/>
      <c r="E6" s="1218"/>
      <c r="F6" s="1218"/>
      <c r="G6" s="1218"/>
      <c r="H6" s="1218"/>
      <c r="I6" s="1218"/>
      <c r="J6" s="1218"/>
      <c r="K6" s="1218"/>
      <c r="L6" s="1218"/>
      <c r="M6" s="1218"/>
      <c r="N6" s="1218"/>
      <c r="O6" s="1218"/>
      <c r="P6" s="1218"/>
      <c r="Q6" s="1218"/>
      <c r="R6" s="1218"/>
      <c r="S6" s="1218"/>
      <c r="T6" s="1218"/>
      <c r="U6" s="1218"/>
      <c r="V6" s="1218"/>
      <c r="W6" s="1218"/>
      <c r="X6" s="1218"/>
      <c r="Y6" s="1218"/>
      <c r="Z6" s="1218"/>
    </row>
    <row r="7" spans="1:26" s="660" customFormat="1" ht="16.5" customHeight="1" x14ac:dyDescent="0.2">
      <c r="A7" s="662" t="s">
        <v>704</v>
      </c>
      <c r="B7" s="662"/>
      <c r="C7" s="1218"/>
      <c r="D7" s="1218"/>
      <c r="E7" s="1218"/>
      <c r="F7" s="1218"/>
      <c r="G7" s="1218"/>
      <c r="H7" s="1218"/>
      <c r="I7" s="1218"/>
      <c r="J7" s="1218"/>
      <c r="K7" s="1218"/>
      <c r="L7" s="1218"/>
      <c r="M7" s="1218"/>
      <c r="N7" s="1218"/>
      <c r="O7" s="1218"/>
      <c r="P7" s="1218"/>
      <c r="Q7" s="1218"/>
      <c r="R7" s="1218"/>
      <c r="S7" s="1218"/>
      <c r="T7" s="1218"/>
      <c r="U7" s="1218"/>
      <c r="V7" s="1218"/>
      <c r="W7" s="1218"/>
      <c r="X7" s="1218"/>
      <c r="Y7" s="1218"/>
      <c r="Z7" s="1218"/>
    </row>
    <row r="8" spans="1:26" s="660" customFormat="1" ht="16.5" customHeight="1" x14ac:dyDescent="0.2">
      <c r="A8" s="662" t="s">
        <v>237</v>
      </c>
      <c r="B8" s="662"/>
      <c r="C8" s="1218"/>
      <c r="D8" s="1218"/>
      <c r="E8" s="1218"/>
      <c r="F8" s="1218"/>
      <c r="G8" s="1218"/>
      <c r="H8" s="1218"/>
      <c r="I8" s="1218"/>
      <c r="J8" s="1218"/>
      <c r="K8" s="1218"/>
      <c r="L8" s="1218"/>
      <c r="M8" s="1218"/>
      <c r="N8" s="1218"/>
      <c r="O8" s="1218"/>
      <c r="P8" s="1218"/>
      <c r="Q8" s="1218"/>
      <c r="R8" s="1218"/>
      <c r="S8" s="1218"/>
      <c r="T8" s="1218"/>
      <c r="U8" s="1218"/>
      <c r="V8" s="1218"/>
      <c r="W8" s="1218"/>
      <c r="X8" s="1218"/>
      <c r="Y8" s="1218"/>
      <c r="Z8" s="1218"/>
    </row>
    <row r="9" spans="1:26" s="660" customFormat="1" ht="16.5" customHeight="1" x14ac:dyDescent="0.2">
      <c r="A9" s="662" t="s">
        <v>238</v>
      </c>
      <c r="B9" s="662"/>
      <c r="C9" s="1218"/>
      <c r="D9" s="1218"/>
      <c r="E9" s="1218"/>
      <c r="F9" s="1218"/>
      <c r="G9" s="1218"/>
      <c r="H9" s="1218"/>
      <c r="I9" s="1218"/>
      <c r="J9" s="1218"/>
      <c r="K9" s="1218"/>
      <c r="L9" s="1218"/>
      <c r="M9" s="1218"/>
      <c r="N9" s="1218"/>
      <c r="O9" s="1218"/>
      <c r="P9" s="1218"/>
      <c r="Q9" s="1218"/>
      <c r="R9" s="1218"/>
      <c r="S9" s="1218"/>
      <c r="T9" s="1218"/>
      <c r="U9" s="1218"/>
      <c r="V9" s="1218"/>
      <c r="W9" s="1218"/>
      <c r="X9" s="1218"/>
      <c r="Y9" s="1218"/>
      <c r="Z9" s="1218"/>
    </row>
    <row r="10" spans="1:26" s="660" customFormat="1" ht="16.5" customHeight="1" x14ac:dyDescent="0.2">
      <c r="A10" s="662" t="s">
        <v>348</v>
      </c>
      <c r="B10" s="662"/>
      <c r="C10" s="1218"/>
      <c r="D10" s="1218"/>
      <c r="E10" s="1218"/>
      <c r="F10" s="1218"/>
      <c r="G10" s="1218"/>
      <c r="H10" s="1218"/>
      <c r="I10" s="1218"/>
      <c r="J10" s="1218"/>
      <c r="K10" s="1218"/>
      <c r="L10" s="1218"/>
      <c r="M10" s="1218"/>
      <c r="N10" s="1218"/>
      <c r="O10" s="1218"/>
      <c r="P10" s="1218"/>
      <c r="Q10" s="1218"/>
      <c r="R10" s="1218"/>
      <c r="S10" s="1218"/>
      <c r="T10" s="1218"/>
      <c r="U10" s="1218"/>
      <c r="V10" s="1218"/>
      <c r="W10" s="1218"/>
      <c r="X10" s="1218"/>
      <c r="Y10" s="1218"/>
      <c r="Z10" s="1218"/>
    </row>
    <row r="11" spans="1:26" s="660" customFormat="1" ht="16.5" customHeight="1" x14ac:dyDescent="0.2">
      <c r="A11" s="662" t="s">
        <v>243</v>
      </c>
      <c r="B11" s="662"/>
      <c r="C11" s="1218"/>
      <c r="D11" s="1218"/>
      <c r="E11" s="1218"/>
      <c r="F11" s="1218"/>
      <c r="G11" s="1218"/>
      <c r="H11" s="1218"/>
      <c r="I11" s="1218"/>
      <c r="J11" s="1218"/>
      <c r="K11" s="1218"/>
      <c r="L11" s="1218"/>
      <c r="M11" s="1218"/>
      <c r="N11" s="1218"/>
      <c r="O11" s="1218"/>
      <c r="P11" s="1218"/>
      <c r="Q11" s="1218"/>
      <c r="R11" s="1218"/>
      <c r="S11" s="1218"/>
      <c r="T11" s="1218"/>
      <c r="U11" s="1218"/>
      <c r="V11" s="1218"/>
      <c r="W11" s="1218"/>
      <c r="X11" s="1218"/>
      <c r="Y11" s="1218"/>
      <c r="Z11" s="1218"/>
    </row>
    <row r="12" spans="1:26" s="193" customFormat="1" ht="6" customHeight="1" x14ac:dyDescent="0.2">
      <c r="I12" s="677"/>
      <c r="J12" s="677"/>
      <c r="K12" s="677"/>
      <c r="L12" s="677"/>
      <c r="M12" s="677"/>
      <c r="N12" s="677"/>
      <c r="O12" s="677"/>
      <c r="P12" s="677"/>
      <c r="Q12" s="677"/>
      <c r="R12" s="677"/>
      <c r="S12" s="677"/>
      <c r="T12" s="677"/>
      <c r="U12" s="677"/>
      <c r="V12" s="677"/>
      <c r="W12" s="677"/>
      <c r="X12" s="677"/>
      <c r="Y12" s="677"/>
      <c r="Z12" s="677"/>
    </row>
    <row r="13" spans="1:26" s="426" customFormat="1" ht="30" customHeight="1" x14ac:dyDescent="0.2">
      <c r="A13" s="424" t="s">
        <v>242</v>
      </c>
      <c r="B13" s="424"/>
      <c r="C13" s="425" t="s">
        <v>244</v>
      </c>
      <c r="D13" s="425" t="s">
        <v>245</v>
      </c>
      <c r="E13" s="425" t="s">
        <v>246</v>
      </c>
      <c r="F13" s="287"/>
      <c r="G13" s="287"/>
      <c r="H13" s="287"/>
      <c r="I13" s="1059"/>
      <c r="J13" s="1059"/>
      <c r="K13" s="1059"/>
      <c r="L13" s="1059"/>
      <c r="M13" s="1059"/>
      <c r="N13" s="1059"/>
      <c r="O13" s="1059"/>
      <c r="P13" s="1059"/>
      <c r="Q13" s="1059"/>
      <c r="R13" s="1059"/>
      <c r="S13" s="1059"/>
      <c r="T13" s="1059"/>
      <c r="U13" s="1059"/>
      <c r="V13" s="1059"/>
      <c r="W13" s="1059"/>
      <c r="X13" s="1059"/>
      <c r="Y13" s="1059"/>
      <c r="Z13" s="1059"/>
    </row>
    <row r="14" spans="1:26" s="33" customFormat="1" ht="16.5" customHeight="1" x14ac:dyDescent="0.2">
      <c r="A14" s="1400" t="s">
        <v>247</v>
      </c>
      <c r="B14" s="1401"/>
      <c r="C14" s="183">
        <f>'BS Analysis Adjustments'!AP14</f>
        <v>3014</v>
      </c>
      <c r="D14" s="1415"/>
      <c r="E14" s="1416"/>
      <c r="F14" s="195"/>
      <c r="G14" s="195"/>
      <c r="H14" s="195"/>
      <c r="I14" s="683"/>
      <c r="J14" s="683"/>
      <c r="K14" s="683"/>
      <c r="L14" s="683"/>
      <c r="M14" s="683"/>
      <c r="N14" s="683"/>
      <c r="O14" s="683"/>
      <c r="P14" s="683"/>
      <c r="Q14" s="683"/>
      <c r="R14" s="683"/>
      <c r="S14" s="683"/>
      <c r="T14" s="683"/>
      <c r="U14" s="683"/>
      <c r="V14" s="683"/>
      <c r="W14" s="683"/>
      <c r="X14" s="683"/>
      <c r="Y14" s="683"/>
      <c r="Z14" s="683"/>
    </row>
    <row r="15" spans="1:26" s="34" customFormat="1" ht="16.5" customHeight="1" x14ac:dyDescent="0.2">
      <c r="A15" s="1402" t="s">
        <v>43</v>
      </c>
      <c r="B15" s="1403"/>
      <c r="C15" s="71">
        <f>'BS Analysis Adjustments'!AP35</f>
        <v>2911</v>
      </c>
      <c r="D15" s="1420"/>
      <c r="E15" s="1421"/>
      <c r="F15" s="194"/>
      <c r="G15" s="194"/>
      <c r="H15" s="194"/>
      <c r="I15" s="684"/>
      <c r="J15" s="684"/>
      <c r="K15" s="684"/>
      <c r="L15" s="684"/>
      <c r="M15" s="684"/>
      <c r="N15" s="684"/>
      <c r="O15" s="684"/>
      <c r="P15" s="684"/>
      <c r="Q15" s="684"/>
      <c r="R15" s="684"/>
      <c r="S15" s="684"/>
      <c r="T15" s="684"/>
      <c r="U15" s="684"/>
      <c r="V15" s="684"/>
      <c r="W15" s="684"/>
      <c r="X15" s="684"/>
      <c r="Y15" s="684"/>
      <c r="Z15" s="684"/>
    </row>
    <row r="16" spans="1:26" s="33" customFormat="1" ht="16.5" customHeight="1" x14ac:dyDescent="0.2">
      <c r="A16" s="1404" t="s">
        <v>248</v>
      </c>
      <c r="B16" s="1405"/>
      <c r="C16" s="33">
        <f>C14-C15</f>
        <v>103</v>
      </c>
      <c r="D16" s="1423"/>
      <c r="E16" s="1424"/>
      <c r="F16" s="195"/>
      <c r="G16" s="195"/>
      <c r="H16" s="195"/>
      <c r="I16" s="683"/>
      <c r="J16" s="683"/>
      <c r="K16" s="683"/>
      <c r="L16" s="683"/>
      <c r="M16" s="683"/>
      <c r="N16" s="683"/>
      <c r="O16" s="683"/>
      <c r="P16" s="683"/>
      <c r="Q16" s="683"/>
      <c r="R16" s="683"/>
      <c r="S16" s="683"/>
      <c r="T16" s="683"/>
      <c r="U16" s="683"/>
      <c r="V16" s="683"/>
      <c r="W16" s="683"/>
      <c r="X16" s="683"/>
      <c r="Y16" s="683"/>
      <c r="Z16" s="683"/>
    </row>
    <row r="17" spans="1:26" s="34" customFormat="1" ht="16.5" customHeight="1" x14ac:dyDescent="0.2">
      <c r="A17" s="1402" t="s">
        <v>50</v>
      </c>
      <c r="B17" s="1403"/>
      <c r="C17" s="584">
        <f>'BS Analysis Adjustments'!AP23</f>
        <v>7698</v>
      </c>
      <c r="D17" s="1420"/>
      <c r="E17" s="1421"/>
      <c r="F17" s="194"/>
      <c r="G17" s="194"/>
      <c r="H17" s="194"/>
      <c r="I17" s="684"/>
      <c r="J17" s="684"/>
      <c r="K17" s="684"/>
      <c r="L17" s="684"/>
      <c r="M17" s="684"/>
      <c r="N17" s="684"/>
      <c r="O17" s="684"/>
      <c r="P17" s="684"/>
      <c r="Q17" s="684"/>
      <c r="R17" s="684"/>
      <c r="S17" s="684"/>
      <c r="T17" s="684"/>
      <c r="U17" s="684"/>
      <c r="V17" s="684"/>
      <c r="W17" s="684"/>
      <c r="X17" s="684"/>
      <c r="Y17" s="684"/>
      <c r="Z17" s="684"/>
    </row>
    <row r="18" spans="1:26" s="666" customFormat="1" ht="16.5" customHeight="1" x14ac:dyDescent="0.2">
      <c r="A18" s="1406" t="s">
        <v>275</v>
      </c>
      <c r="B18" s="1407"/>
      <c r="C18" s="663">
        <f>C16/C17</f>
        <v>1.3380098726942062E-2</v>
      </c>
      <c r="D18" s="664">
        <v>1.2</v>
      </c>
      <c r="E18" s="663">
        <f>C18*D18</f>
        <v>1.6056118472330475E-2</v>
      </c>
      <c r="F18" s="665"/>
      <c r="G18" s="665"/>
      <c r="H18" s="665"/>
      <c r="I18" s="910"/>
      <c r="J18" s="910"/>
      <c r="K18" s="910"/>
      <c r="L18" s="910"/>
      <c r="M18" s="910"/>
      <c r="N18" s="910"/>
      <c r="O18" s="910"/>
      <c r="P18" s="910"/>
      <c r="Q18" s="910"/>
      <c r="R18" s="910"/>
      <c r="S18" s="910"/>
      <c r="T18" s="910"/>
      <c r="U18" s="910"/>
      <c r="V18" s="910"/>
      <c r="W18" s="910"/>
      <c r="X18" s="910"/>
      <c r="Y18" s="910"/>
      <c r="Z18" s="910"/>
    </row>
    <row r="19" spans="1:26" s="193" customFormat="1" ht="6" customHeight="1" x14ac:dyDescent="0.2">
      <c r="I19" s="677"/>
      <c r="J19" s="677"/>
      <c r="K19" s="677"/>
      <c r="L19" s="677"/>
      <c r="M19" s="677"/>
      <c r="N19" s="677"/>
      <c r="O19" s="677"/>
      <c r="P19" s="677"/>
      <c r="Q19" s="677"/>
      <c r="R19" s="677"/>
      <c r="S19" s="677"/>
      <c r="T19" s="677"/>
      <c r="U19" s="677"/>
      <c r="V19" s="677"/>
      <c r="W19" s="677"/>
      <c r="X19" s="677"/>
      <c r="Y19" s="677"/>
      <c r="Z19" s="677"/>
    </row>
    <row r="20" spans="1:26" s="33" customFormat="1" ht="16.5" customHeight="1" x14ac:dyDescent="0.2">
      <c r="A20" s="1400" t="s">
        <v>71</v>
      </c>
      <c r="B20" s="1401"/>
      <c r="C20" s="183">
        <f>'BS Analysis Adjustments'!AP50</f>
        <v>-1610</v>
      </c>
      <c r="D20" s="1415"/>
      <c r="E20" s="1416"/>
      <c r="F20" s="195"/>
      <c r="G20" s="195"/>
      <c r="H20" s="195"/>
      <c r="I20" s="683"/>
      <c r="J20" s="683"/>
      <c r="K20" s="683"/>
      <c r="L20" s="683"/>
      <c r="M20" s="683"/>
      <c r="N20" s="683"/>
      <c r="O20" s="683"/>
      <c r="P20" s="683"/>
      <c r="Q20" s="683"/>
      <c r="R20" s="683"/>
      <c r="S20" s="683"/>
      <c r="T20" s="683"/>
      <c r="U20" s="683"/>
      <c r="V20" s="683"/>
      <c r="W20" s="683"/>
      <c r="X20" s="683"/>
      <c r="Y20" s="683"/>
      <c r="Z20" s="683"/>
    </row>
    <row r="21" spans="1:26" s="39" customFormat="1" ht="16.5" customHeight="1" x14ac:dyDescent="0.2">
      <c r="A21" s="1402" t="s">
        <v>50</v>
      </c>
      <c r="B21" s="1403"/>
      <c r="C21" s="408">
        <f>'BS Analysis Adjustments'!AP23</f>
        <v>7698</v>
      </c>
      <c r="D21" s="1420"/>
      <c r="E21" s="1421"/>
      <c r="F21" s="88"/>
      <c r="G21" s="88"/>
      <c r="H21" s="88"/>
      <c r="I21" s="685"/>
      <c r="J21" s="685"/>
      <c r="K21" s="685"/>
      <c r="L21" s="685"/>
      <c r="M21" s="685"/>
      <c r="N21" s="685"/>
      <c r="O21" s="685"/>
      <c r="P21" s="685"/>
      <c r="Q21" s="685"/>
      <c r="R21" s="685"/>
      <c r="S21" s="685"/>
      <c r="T21" s="685"/>
      <c r="U21" s="685"/>
      <c r="V21" s="685"/>
      <c r="W21" s="685"/>
      <c r="X21" s="685"/>
      <c r="Y21" s="685"/>
      <c r="Z21" s="685"/>
    </row>
    <row r="22" spans="1:26" s="671" customFormat="1" ht="16.5" customHeight="1" x14ac:dyDescent="0.2">
      <c r="A22" s="667" t="s">
        <v>274</v>
      </c>
      <c r="B22" s="667"/>
      <c r="C22" s="668">
        <f>C20/C21</f>
        <v>-0.20914523252792933</v>
      </c>
      <c r="D22" s="669">
        <v>1.4</v>
      </c>
      <c r="E22" s="668">
        <f>C22*D22</f>
        <v>-0.29280332553910104</v>
      </c>
      <c r="F22" s="670"/>
      <c r="G22" s="670"/>
      <c r="H22" s="670"/>
      <c r="I22" s="1219"/>
      <c r="J22" s="1219"/>
      <c r="K22" s="1219"/>
      <c r="L22" s="1219"/>
      <c r="M22" s="1219"/>
      <c r="N22" s="1219"/>
      <c r="O22" s="1219"/>
      <c r="P22" s="1219"/>
      <c r="Q22" s="1219"/>
      <c r="R22" s="1219"/>
      <c r="S22" s="1219"/>
      <c r="T22" s="1219"/>
      <c r="U22" s="1219"/>
      <c r="V22" s="1219"/>
      <c r="W22" s="1219"/>
      <c r="X22" s="1219"/>
      <c r="Y22" s="1219"/>
      <c r="Z22" s="1219"/>
    </row>
    <row r="23" spans="1:26" s="193" customFormat="1" ht="6" customHeight="1" x14ac:dyDescent="0.2">
      <c r="I23" s="677"/>
      <c r="J23" s="677"/>
      <c r="K23" s="677"/>
      <c r="L23" s="677"/>
      <c r="M23" s="677"/>
      <c r="N23" s="677"/>
      <c r="O23" s="677"/>
      <c r="P23" s="677"/>
      <c r="Q23" s="677"/>
      <c r="R23" s="677"/>
      <c r="S23" s="677"/>
      <c r="T23" s="677"/>
      <c r="U23" s="677"/>
      <c r="V23" s="677"/>
      <c r="W23" s="677"/>
      <c r="X23" s="677"/>
      <c r="Y23" s="677"/>
      <c r="Z23" s="677"/>
    </row>
    <row r="24" spans="1:26" s="33" customFormat="1" ht="16.5" customHeight="1" x14ac:dyDescent="0.2">
      <c r="A24" s="1400" t="s">
        <v>249</v>
      </c>
      <c r="B24" s="1401"/>
      <c r="C24" s="183">
        <f>'IS Analysis Adjustments'!AP26</f>
        <v>976</v>
      </c>
      <c r="D24" s="1415"/>
      <c r="E24" s="1416"/>
      <c r="F24" s="195"/>
      <c r="G24" s="195"/>
      <c r="H24" s="195"/>
      <c r="I24" s="683"/>
      <c r="J24" s="683"/>
      <c r="K24" s="683"/>
      <c r="L24" s="683"/>
      <c r="M24" s="683"/>
      <c r="N24" s="683"/>
      <c r="O24" s="683"/>
      <c r="P24" s="683"/>
      <c r="Q24" s="683"/>
      <c r="R24" s="683"/>
      <c r="S24" s="683"/>
      <c r="T24" s="683"/>
      <c r="U24" s="683"/>
      <c r="V24" s="683"/>
      <c r="W24" s="683"/>
      <c r="X24" s="683"/>
      <c r="Y24" s="683"/>
      <c r="Z24" s="683"/>
    </row>
    <row r="25" spans="1:26" s="34" customFormat="1" ht="16.5" customHeight="1" x14ac:dyDescent="0.2">
      <c r="A25" s="1402" t="s">
        <v>38</v>
      </c>
      <c r="B25" s="1403"/>
      <c r="C25" s="71">
        <f>-'IS Analysis Adjustments'!AP16</f>
        <v>125</v>
      </c>
      <c r="D25" s="1420"/>
      <c r="E25" s="1421"/>
      <c r="F25" s="194"/>
      <c r="G25" s="194"/>
      <c r="H25" s="194"/>
      <c r="I25" s="684"/>
      <c r="J25" s="684"/>
      <c r="K25" s="684"/>
      <c r="L25" s="684"/>
      <c r="M25" s="684"/>
      <c r="N25" s="684"/>
      <c r="O25" s="684"/>
      <c r="P25" s="684"/>
      <c r="Q25" s="684"/>
      <c r="R25" s="684"/>
      <c r="S25" s="684"/>
      <c r="T25" s="684"/>
      <c r="U25" s="684"/>
      <c r="V25" s="684"/>
      <c r="W25" s="684"/>
      <c r="X25" s="684"/>
      <c r="Y25" s="684"/>
      <c r="Z25" s="684"/>
    </row>
    <row r="26" spans="1:26" s="33" customFormat="1" ht="16.5" customHeight="1" x14ac:dyDescent="0.2">
      <c r="A26" s="1404" t="s">
        <v>250</v>
      </c>
      <c r="B26" s="1405"/>
      <c r="C26" s="33">
        <f>C24+C25</f>
        <v>1101</v>
      </c>
      <c r="D26" s="1423"/>
      <c r="E26" s="1424"/>
      <c r="F26" s="195"/>
      <c r="G26" s="195"/>
      <c r="H26" s="195"/>
      <c r="I26" s="683"/>
      <c r="J26" s="683"/>
      <c r="K26" s="683"/>
      <c r="L26" s="683"/>
      <c r="M26" s="683"/>
      <c r="N26" s="683"/>
      <c r="O26" s="683"/>
      <c r="P26" s="683"/>
      <c r="Q26" s="683"/>
      <c r="R26" s="683"/>
      <c r="S26" s="683"/>
      <c r="T26" s="683"/>
      <c r="U26" s="683"/>
      <c r="V26" s="683"/>
      <c r="W26" s="683"/>
      <c r="X26" s="683"/>
      <c r="Y26" s="683"/>
      <c r="Z26" s="683"/>
    </row>
    <row r="27" spans="1:26" s="39" customFormat="1" ht="16.5" customHeight="1" x14ac:dyDescent="0.2">
      <c r="A27" s="1402" t="s">
        <v>50</v>
      </c>
      <c r="B27" s="1403"/>
      <c r="C27" s="182">
        <f>'BS Analysis Adjustments'!AP23</f>
        <v>7698</v>
      </c>
      <c r="D27" s="1420"/>
      <c r="E27" s="1421"/>
      <c r="F27" s="88"/>
      <c r="G27" s="88"/>
      <c r="H27" s="88"/>
      <c r="I27" s="685"/>
      <c r="J27" s="685"/>
      <c r="K27" s="685"/>
      <c r="L27" s="685"/>
      <c r="M27" s="685"/>
      <c r="N27" s="685"/>
      <c r="O27" s="685"/>
      <c r="P27" s="685"/>
      <c r="Q27" s="685"/>
      <c r="R27" s="685"/>
      <c r="S27" s="685"/>
      <c r="T27" s="685"/>
      <c r="U27" s="685"/>
      <c r="V27" s="685"/>
      <c r="W27" s="685"/>
      <c r="X27" s="685"/>
      <c r="Y27" s="685"/>
      <c r="Z27" s="685"/>
    </row>
    <row r="28" spans="1:26" s="671" customFormat="1" ht="16.5" customHeight="1" x14ac:dyDescent="0.2">
      <c r="A28" s="1406" t="s">
        <v>272</v>
      </c>
      <c r="B28" s="1407"/>
      <c r="C28" s="668">
        <f>C26/C27</f>
        <v>0.14302416212003119</v>
      </c>
      <c r="D28" s="669">
        <v>3.3</v>
      </c>
      <c r="E28" s="668">
        <f>C28*D28</f>
        <v>0.47197973499610291</v>
      </c>
      <c r="F28" s="670"/>
      <c r="G28" s="670"/>
      <c r="H28" s="670"/>
      <c r="I28" s="1219"/>
      <c r="J28" s="1219"/>
      <c r="K28" s="1219"/>
      <c r="L28" s="1219"/>
      <c r="M28" s="1219"/>
      <c r="N28" s="1219"/>
      <c r="O28" s="1219"/>
      <c r="P28" s="1219"/>
      <c r="Q28" s="1219"/>
      <c r="R28" s="1219"/>
      <c r="S28" s="1219"/>
      <c r="T28" s="1219"/>
      <c r="U28" s="1219"/>
      <c r="V28" s="1219"/>
      <c r="W28" s="1219"/>
      <c r="X28" s="1219"/>
      <c r="Y28" s="1219"/>
      <c r="Z28" s="1219"/>
    </row>
    <row r="29" spans="1:26" s="193" customFormat="1" ht="6" customHeight="1" x14ac:dyDescent="0.2">
      <c r="I29" s="677"/>
      <c r="J29" s="677"/>
      <c r="K29" s="677"/>
      <c r="L29" s="677"/>
      <c r="M29" s="677"/>
      <c r="N29" s="677"/>
      <c r="O29" s="677"/>
      <c r="P29" s="677"/>
      <c r="Q29" s="677"/>
      <c r="R29" s="677"/>
      <c r="S29" s="677"/>
      <c r="T29" s="677"/>
      <c r="U29" s="677"/>
      <c r="V29" s="677"/>
      <c r="W29" s="677"/>
      <c r="X29" s="677"/>
      <c r="Y29" s="677"/>
      <c r="Z29" s="677"/>
    </row>
    <row r="30" spans="1:26" s="33" customFormat="1" ht="16.5" customHeight="1" x14ac:dyDescent="0.2">
      <c r="A30" s="1408" t="s">
        <v>615</v>
      </c>
      <c r="B30" s="1401"/>
      <c r="C30" s="79">
        <f>'Common-size FS'!G66</f>
        <v>190.1</v>
      </c>
      <c r="D30" s="1422"/>
      <c r="E30" s="1416"/>
      <c r="F30" s="195"/>
      <c r="G30" s="195"/>
      <c r="H30" s="195"/>
      <c r="I30" s="683"/>
      <c r="J30" s="683"/>
      <c r="K30" s="683"/>
      <c r="L30" s="683"/>
      <c r="M30" s="683"/>
      <c r="N30" s="683"/>
      <c r="O30" s="683"/>
      <c r="P30" s="683"/>
      <c r="Q30" s="683"/>
      <c r="R30" s="683"/>
      <c r="S30" s="683"/>
      <c r="T30" s="683"/>
      <c r="U30" s="683"/>
      <c r="V30" s="683"/>
      <c r="W30" s="683"/>
      <c r="X30" s="683"/>
      <c r="Y30" s="683"/>
      <c r="Z30" s="683"/>
    </row>
    <row r="31" spans="1:26" s="34" customFormat="1" ht="16.5" customHeight="1" x14ac:dyDescent="0.2">
      <c r="A31" s="1409" t="s">
        <v>251</v>
      </c>
      <c r="B31" s="1403"/>
      <c r="C31" s="586">
        <f>'P-E &amp; P-B Comparisons'!D12</f>
        <v>51.21</v>
      </c>
      <c r="D31" s="1427"/>
      <c r="E31" s="1421"/>
      <c r="F31" s="194"/>
      <c r="G31" s="194"/>
      <c r="H31" s="194"/>
      <c r="I31" s="684"/>
      <c r="J31" s="684"/>
      <c r="K31" s="684"/>
      <c r="L31" s="684"/>
      <c r="M31" s="684"/>
      <c r="N31" s="684"/>
      <c r="O31" s="684"/>
      <c r="P31" s="684"/>
      <c r="Q31" s="684"/>
      <c r="R31" s="684"/>
      <c r="S31" s="684"/>
      <c r="T31" s="684"/>
      <c r="U31" s="684"/>
      <c r="V31" s="684"/>
      <c r="W31" s="684"/>
      <c r="X31" s="684"/>
      <c r="Y31" s="684"/>
      <c r="Z31" s="684"/>
    </row>
    <row r="32" spans="1:26" s="33" customFormat="1" ht="16.5" customHeight="1" x14ac:dyDescent="0.2">
      <c r="A32" s="1410" t="s">
        <v>252</v>
      </c>
      <c r="B32" s="1405"/>
      <c r="C32" s="183">
        <f>C30*C31</f>
        <v>9735.0210000000006</v>
      </c>
      <c r="D32" s="1426"/>
      <c r="E32" s="1424"/>
      <c r="F32" s="195"/>
      <c r="G32" s="195"/>
      <c r="H32" s="195"/>
      <c r="I32" s="683"/>
      <c r="J32" s="683"/>
      <c r="K32" s="683"/>
      <c r="L32" s="683"/>
      <c r="M32" s="683"/>
      <c r="N32" s="683"/>
      <c r="O32" s="683"/>
      <c r="P32" s="683"/>
      <c r="Q32" s="683"/>
      <c r="R32" s="683"/>
      <c r="S32" s="683"/>
      <c r="T32" s="683"/>
      <c r="U32" s="683"/>
      <c r="V32" s="683"/>
      <c r="W32" s="683"/>
      <c r="X32" s="683"/>
      <c r="Y32" s="683"/>
      <c r="Z32" s="683"/>
    </row>
    <row r="33" spans="1:26" s="39" customFormat="1" ht="16.5" customHeight="1" x14ac:dyDescent="0.2">
      <c r="A33" s="1402" t="s">
        <v>46</v>
      </c>
      <c r="B33" s="1403"/>
      <c r="C33" s="408">
        <f>'BS Analysis Adjustments'!AP42</f>
        <v>6827</v>
      </c>
      <c r="D33" s="1420"/>
      <c r="E33" s="1421"/>
      <c r="F33" s="88"/>
      <c r="G33" s="88"/>
      <c r="H33" s="88"/>
      <c r="I33" s="685"/>
      <c r="J33" s="685"/>
      <c r="K33" s="685"/>
      <c r="L33" s="685"/>
      <c r="M33" s="685"/>
      <c r="N33" s="685"/>
      <c r="O33" s="685"/>
      <c r="P33" s="685"/>
      <c r="Q33" s="685"/>
      <c r="R33" s="685"/>
      <c r="S33" s="685"/>
      <c r="T33" s="685"/>
      <c r="U33" s="685"/>
      <c r="V33" s="685"/>
      <c r="W33" s="685"/>
      <c r="X33" s="685"/>
      <c r="Y33" s="685"/>
      <c r="Z33" s="685"/>
    </row>
    <row r="34" spans="1:26" s="671" customFormat="1" ht="16.5" customHeight="1" x14ac:dyDescent="0.2">
      <c r="A34" s="1406" t="s">
        <v>277</v>
      </c>
      <c r="B34" s="1407"/>
      <c r="C34" s="668">
        <f>C32/C33</f>
        <v>1.4259588399003955</v>
      </c>
      <c r="D34" s="669">
        <v>0.6</v>
      </c>
      <c r="E34" s="668">
        <f>C34*D34</f>
        <v>0.85557530394023729</v>
      </c>
      <c r="F34" s="670"/>
      <c r="G34" s="670"/>
      <c r="H34" s="670"/>
      <c r="I34" s="1219"/>
      <c r="J34" s="1219"/>
      <c r="K34" s="1219"/>
      <c r="L34" s="1219"/>
      <c r="M34" s="1219"/>
      <c r="N34" s="1219"/>
      <c r="O34" s="1219"/>
      <c r="P34" s="1219"/>
      <c r="Q34" s="1219"/>
      <c r="R34" s="1219"/>
      <c r="S34" s="1219"/>
      <c r="T34" s="1219"/>
      <c r="U34" s="1219"/>
      <c r="V34" s="1219"/>
      <c r="W34" s="1219"/>
      <c r="X34" s="1219"/>
      <c r="Y34" s="1219"/>
      <c r="Z34" s="1219"/>
    </row>
    <row r="35" spans="1:26" s="193" customFormat="1" ht="6" customHeight="1" x14ac:dyDescent="0.2">
      <c r="I35" s="677"/>
      <c r="J35" s="677"/>
      <c r="K35" s="677"/>
      <c r="L35" s="677"/>
      <c r="M35" s="677"/>
      <c r="N35" s="677"/>
      <c r="O35" s="677"/>
      <c r="P35" s="677"/>
      <c r="Q35" s="677"/>
      <c r="R35" s="677"/>
      <c r="S35" s="677"/>
      <c r="T35" s="677"/>
      <c r="U35" s="677"/>
      <c r="V35" s="677"/>
      <c r="W35" s="677"/>
      <c r="X35" s="677"/>
      <c r="Y35" s="677"/>
      <c r="Z35" s="677"/>
    </row>
    <row r="36" spans="1:26" s="33" customFormat="1" ht="16.5" customHeight="1" x14ac:dyDescent="0.2">
      <c r="A36" s="1400" t="s">
        <v>64</v>
      </c>
      <c r="B36" s="1401"/>
      <c r="C36" s="183">
        <f>'IS Analysis Adjustments'!AP4</f>
        <v>14437</v>
      </c>
      <c r="D36" s="1415"/>
      <c r="E36" s="1416"/>
      <c r="F36" s="195"/>
      <c r="G36" s="195"/>
      <c r="H36" s="195"/>
      <c r="I36" s="683"/>
      <c r="J36" s="683"/>
      <c r="K36" s="683"/>
      <c r="L36" s="683"/>
      <c r="M36" s="683"/>
      <c r="N36" s="683"/>
      <c r="O36" s="683"/>
      <c r="P36" s="683"/>
      <c r="Q36" s="683"/>
      <c r="R36" s="683"/>
      <c r="S36" s="683"/>
      <c r="T36" s="683"/>
      <c r="U36" s="683"/>
      <c r="V36" s="683"/>
      <c r="W36" s="683"/>
      <c r="X36" s="683"/>
      <c r="Y36" s="683"/>
      <c r="Z36" s="683"/>
    </row>
    <row r="37" spans="1:26" s="39" customFormat="1" ht="16.5" customHeight="1" x14ac:dyDescent="0.2">
      <c r="A37" s="1402" t="s">
        <v>50</v>
      </c>
      <c r="B37" s="1403"/>
      <c r="C37" s="182">
        <f>'BS Analysis Adjustments'!AP23</f>
        <v>7698</v>
      </c>
      <c r="D37" s="1420"/>
      <c r="E37" s="1421"/>
      <c r="F37" s="88"/>
      <c r="G37" s="88"/>
      <c r="H37" s="88"/>
      <c r="I37" s="685"/>
      <c r="J37" s="685"/>
      <c r="K37" s="685"/>
      <c r="L37" s="685"/>
      <c r="M37" s="685"/>
      <c r="N37" s="685"/>
      <c r="O37" s="685"/>
      <c r="P37" s="685"/>
      <c r="Q37" s="685"/>
      <c r="R37" s="685"/>
      <c r="S37" s="685"/>
      <c r="T37" s="685"/>
      <c r="U37" s="685"/>
      <c r="V37" s="685"/>
      <c r="W37" s="685"/>
      <c r="X37" s="685"/>
      <c r="Y37" s="685"/>
      <c r="Z37" s="685"/>
    </row>
    <row r="38" spans="1:26" s="671" customFormat="1" ht="16.5" customHeight="1" x14ac:dyDescent="0.2">
      <c r="A38" s="1406" t="s">
        <v>276</v>
      </c>
      <c r="B38" s="1407"/>
      <c r="C38" s="668">
        <f>C36/C37</f>
        <v>1.8754221875811898</v>
      </c>
      <c r="D38" s="668">
        <v>0.99</v>
      </c>
      <c r="E38" s="668">
        <f>C38*D38</f>
        <v>1.856667965705378</v>
      </c>
      <c r="F38" s="670"/>
      <c r="G38" s="670"/>
      <c r="H38" s="670"/>
      <c r="I38" s="1219"/>
      <c r="J38" s="1219"/>
      <c r="K38" s="1219"/>
      <c r="L38" s="1219"/>
      <c r="M38" s="1219"/>
      <c r="N38" s="1219"/>
      <c r="O38" s="1219"/>
      <c r="P38" s="1219"/>
      <c r="Q38" s="1219"/>
      <c r="R38" s="1219"/>
      <c r="S38" s="1219"/>
      <c r="T38" s="1219"/>
      <c r="U38" s="1219"/>
      <c r="V38" s="1219"/>
      <c r="W38" s="1219"/>
      <c r="X38" s="1219"/>
      <c r="Y38" s="1219"/>
      <c r="Z38" s="1219"/>
    </row>
    <row r="39" spans="1:26" s="513" customFormat="1" ht="6" customHeight="1" x14ac:dyDescent="0.2">
      <c r="I39" s="914"/>
      <c r="J39" s="914"/>
      <c r="K39" s="914"/>
      <c r="L39" s="914"/>
      <c r="M39" s="914"/>
      <c r="N39" s="914"/>
      <c r="O39" s="914"/>
      <c r="P39" s="914"/>
      <c r="Q39" s="914"/>
      <c r="R39" s="914"/>
      <c r="S39" s="914"/>
      <c r="T39" s="914"/>
      <c r="U39" s="914"/>
      <c r="V39" s="914"/>
      <c r="W39" s="914"/>
      <c r="X39" s="914"/>
      <c r="Y39" s="914"/>
      <c r="Z39" s="914"/>
    </row>
    <row r="40" spans="1:26" s="674" customFormat="1" ht="16.5" customHeight="1" thickBot="1" x14ac:dyDescent="0.25">
      <c r="A40" s="1417" t="s">
        <v>253</v>
      </c>
      <c r="B40" s="1414"/>
      <c r="C40" s="1413"/>
      <c r="D40" s="1425"/>
      <c r="E40" s="672">
        <f>E18+E22+E28+E34+E38</f>
        <v>2.9074757975749472</v>
      </c>
      <c r="F40" s="673"/>
      <c r="G40" s="673"/>
      <c r="H40" s="673"/>
      <c r="I40" s="1220"/>
      <c r="J40" s="1220"/>
      <c r="K40" s="1220"/>
      <c r="L40" s="1220"/>
      <c r="M40" s="1220"/>
      <c r="N40" s="1220"/>
      <c r="O40" s="1220"/>
      <c r="P40" s="1220"/>
      <c r="Q40" s="1220"/>
      <c r="R40" s="1220"/>
      <c r="S40" s="1220"/>
      <c r="T40" s="1220"/>
      <c r="U40" s="1220"/>
      <c r="V40" s="1220"/>
      <c r="W40" s="1220"/>
      <c r="X40" s="1220"/>
      <c r="Y40" s="1220"/>
      <c r="Z40" s="1220"/>
    </row>
    <row r="41" spans="1:26" s="221" customFormat="1" ht="6" customHeight="1" x14ac:dyDescent="0.2">
      <c r="I41" s="1129"/>
      <c r="J41" s="1129"/>
      <c r="K41" s="1129"/>
      <c r="L41" s="1129"/>
      <c r="M41" s="1129"/>
      <c r="N41" s="1129"/>
      <c r="O41" s="1129"/>
      <c r="P41" s="1129"/>
      <c r="Q41" s="1129"/>
      <c r="R41" s="1129"/>
      <c r="S41" s="1129"/>
      <c r="T41" s="1129"/>
      <c r="U41" s="1129"/>
      <c r="V41" s="1129"/>
      <c r="W41" s="1129"/>
      <c r="X41" s="1129"/>
      <c r="Y41" s="1129"/>
      <c r="Z41" s="1129"/>
    </row>
    <row r="42" spans="1:26" s="426" customFormat="1" ht="16.5" customHeight="1" x14ac:dyDescent="0.2">
      <c r="A42" s="427" t="s">
        <v>254</v>
      </c>
      <c r="B42" s="1418" t="s">
        <v>255</v>
      </c>
      <c r="C42" s="1419"/>
      <c r="D42" s="1419"/>
      <c r="E42" s="1419"/>
      <c r="F42" s="287"/>
      <c r="G42" s="287"/>
      <c r="H42" s="287"/>
      <c r="I42" s="1059"/>
      <c r="J42" s="1059"/>
      <c r="K42" s="1059"/>
      <c r="L42" s="1059"/>
      <c r="M42" s="1059"/>
      <c r="N42" s="1059"/>
      <c r="O42" s="1059"/>
      <c r="P42" s="1059"/>
      <c r="Q42" s="1059"/>
      <c r="R42" s="1059"/>
      <c r="S42" s="1059"/>
      <c r="T42" s="1059"/>
      <c r="U42" s="1059"/>
      <c r="V42" s="1059"/>
      <c r="W42" s="1059"/>
      <c r="X42" s="1059"/>
      <c r="Y42" s="1059"/>
      <c r="Z42" s="1059"/>
    </row>
    <row r="43" spans="1:26" s="666" customFormat="1" ht="16.5" customHeight="1" x14ac:dyDescent="0.2">
      <c r="A43" s="675" t="s">
        <v>256</v>
      </c>
      <c r="B43" s="1411" t="s">
        <v>257</v>
      </c>
      <c r="C43" s="1412"/>
      <c r="D43" s="1412"/>
      <c r="E43" s="1412"/>
      <c r="F43" s="665"/>
      <c r="G43" s="665"/>
      <c r="H43" s="665"/>
      <c r="I43" s="910"/>
      <c r="J43" s="910"/>
      <c r="K43" s="910"/>
      <c r="L43" s="910"/>
      <c r="M43" s="910"/>
      <c r="N43" s="910"/>
      <c r="O43" s="910"/>
      <c r="P43" s="910"/>
      <c r="Q43" s="910"/>
      <c r="R43" s="910"/>
      <c r="S43" s="910"/>
      <c r="T43" s="910"/>
      <c r="U43" s="910"/>
      <c r="V43" s="910"/>
      <c r="W43" s="910"/>
      <c r="X43" s="910"/>
      <c r="Y43" s="910"/>
      <c r="Z43" s="910"/>
    </row>
    <row r="44" spans="1:26" s="666" customFormat="1" ht="16.5" customHeight="1" x14ac:dyDescent="0.2">
      <c r="A44" s="675" t="s">
        <v>171</v>
      </c>
      <c r="B44" s="1411" t="s">
        <v>172</v>
      </c>
      <c r="C44" s="1412"/>
      <c r="D44" s="1412"/>
      <c r="E44" s="1412"/>
      <c r="F44" s="665"/>
      <c r="G44" s="665"/>
      <c r="H44" s="665"/>
      <c r="I44" s="910"/>
      <c r="J44" s="910"/>
      <c r="K44" s="910"/>
      <c r="L44" s="910"/>
      <c r="M44" s="910"/>
      <c r="N44" s="910"/>
      <c r="O44" s="910"/>
      <c r="P44" s="910"/>
      <c r="Q44" s="910"/>
      <c r="R44" s="910"/>
      <c r="S44" s="910"/>
      <c r="T44" s="910"/>
      <c r="U44" s="910"/>
      <c r="V44" s="910"/>
      <c r="W44" s="910"/>
      <c r="X44" s="910"/>
      <c r="Y44" s="910"/>
      <c r="Z44" s="910"/>
    </row>
    <row r="45" spans="1:26" s="666" customFormat="1" ht="16.5" customHeight="1" x14ac:dyDescent="0.2">
      <c r="A45" s="675" t="s">
        <v>173</v>
      </c>
      <c r="B45" s="1411" t="s">
        <v>174</v>
      </c>
      <c r="C45" s="1412"/>
      <c r="D45" s="1412"/>
      <c r="E45" s="1412"/>
      <c r="F45" s="665"/>
      <c r="G45" s="665"/>
      <c r="H45" s="665"/>
      <c r="I45" s="910"/>
      <c r="J45" s="910"/>
      <c r="K45" s="910"/>
      <c r="L45" s="910"/>
      <c r="M45" s="910"/>
      <c r="N45" s="910"/>
      <c r="O45" s="910"/>
      <c r="P45" s="910"/>
      <c r="Q45" s="910"/>
      <c r="R45" s="910"/>
      <c r="S45" s="910"/>
      <c r="T45" s="910"/>
      <c r="U45" s="910"/>
      <c r="V45" s="910"/>
      <c r="W45" s="910"/>
      <c r="X45" s="910"/>
      <c r="Y45" s="910"/>
      <c r="Z45" s="910"/>
    </row>
    <row r="46" spans="1:26" s="82" customFormat="1" ht="16.5" customHeight="1" x14ac:dyDescent="0.2">
      <c r="I46" s="1169"/>
      <c r="J46" s="677"/>
      <c r="K46" s="1169"/>
      <c r="L46" s="1169"/>
      <c r="M46" s="1169"/>
      <c r="N46" s="1169"/>
      <c r="O46" s="1169"/>
      <c r="P46" s="1169"/>
      <c r="Q46" s="1169"/>
      <c r="R46" s="1169"/>
      <c r="S46" s="1169"/>
      <c r="T46" s="1169"/>
      <c r="U46" s="1169"/>
      <c r="V46" s="1169"/>
      <c r="W46" s="1169"/>
      <c r="X46" s="1169"/>
      <c r="Y46" s="1169"/>
      <c r="Z46" s="1169"/>
    </row>
    <row r="47" spans="1:26" s="660" customFormat="1" ht="16.5" customHeight="1" x14ac:dyDescent="0.2">
      <c r="A47" s="659" t="s">
        <v>271</v>
      </c>
      <c r="B47" s="659"/>
      <c r="F47" s="661"/>
      <c r="G47" s="661"/>
      <c r="H47" s="661"/>
      <c r="I47" s="1218"/>
      <c r="J47" s="1218"/>
      <c r="K47" s="1218"/>
      <c r="L47" s="1218"/>
      <c r="M47" s="1218"/>
      <c r="N47" s="1218"/>
      <c r="O47" s="1218"/>
      <c r="P47" s="1218"/>
      <c r="Q47" s="1218"/>
      <c r="R47" s="1218"/>
      <c r="S47" s="1218"/>
      <c r="T47" s="1218"/>
      <c r="U47" s="1218"/>
      <c r="V47" s="1218"/>
      <c r="W47" s="1218"/>
      <c r="X47" s="1218"/>
      <c r="Y47" s="1218"/>
      <c r="Z47" s="1218"/>
    </row>
    <row r="48" spans="1:26" s="660" customFormat="1" ht="16.5" customHeight="1" x14ac:dyDescent="0.2">
      <c r="A48" s="662" t="s">
        <v>704</v>
      </c>
      <c r="B48" s="662"/>
      <c r="F48" s="661"/>
      <c r="G48" s="661"/>
      <c r="H48" s="661"/>
      <c r="I48" s="1218"/>
      <c r="J48" s="1218"/>
      <c r="K48" s="1218"/>
      <c r="L48" s="1218"/>
      <c r="M48" s="1218"/>
      <c r="N48" s="1218"/>
      <c r="O48" s="1218"/>
      <c r="P48" s="1218"/>
      <c r="Q48" s="1218"/>
      <c r="R48" s="1218"/>
      <c r="S48" s="1218"/>
      <c r="T48" s="1218"/>
      <c r="U48" s="1218"/>
      <c r="V48" s="1218"/>
      <c r="W48" s="1218"/>
      <c r="X48" s="1218"/>
      <c r="Y48" s="1218"/>
      <c r="Z48" s="1218"/>
    </row>
    <row r="49" spans="1:26" s="660" customFormat="1" ht="16.5" customHeight="1" x14ac:dyDescent="0.2">
      <c r="A49" s="662" t="s">
        <v>237</v>
      </c>
      <c r="B49" s="662"/>
      <c r="F49" s="661"/>
      <c r="G49" s="661"/>
      <c r="H49" s="661"/>
      <c r="I49" s="1218"/>
      <c r="J49" s="1218"/>
      <c r="K49" s="1218"/>
      <c r="L49" s="1218"/>
      <c r="M49" s="1218"/>
      <c r="N49" s="1218"/>
      <c r="O49" s="1218"/>
      <c r="P49" s="1218"/>
      <c r="Q49" s="1218"/>
      <c r="R49" s="1218"/>
      <c r="S49" s="1218"/>
      <c r="T49" s="1218"/>
      <c r="U49" s="1218"/>
      <c r="V49" s="1218"/>
      <c r="W49" s="1218"/>
      <c r="X49" s="1218"/>
      <c r="Y49" s="1218"/>
      <c r="Z49" s="1218"/>
    </row>
    <row r="50" spans="1:26" s="660" customFormat="1" ht="16.5" customHeight="1" x14ac:dyDescent="0.2">
      <c r="A50" s="662" t="s">
        <v>238</v>
      </c>
      <c r="B50" s="662"/>
      <c r="F50" s="661"/>
      <c r="G50" s="661"/>
      <c r="H50" s="661"/>
      <c r="I50" s="1218"/>
      <c r="J50" s="1218"/>
      <c r="K50" s="1218"/>
      <c r="L50" s="1218"/>
      <c r="M50" s="1218"/>
      <c r="N50" s="1218"/>
      <c r="O50" s="1218"/>
      <c r="P50" s="1218"/>
      <c r="Q50" s="1218"/>
      <c r="R50" s="1218"/>
      <c r="S50" s="1218"/>
      <c r="T50" s="1218"/>
      <c r="U50" s="1218"/>
      <c r="V50" s="1218"/>
      <c r="W50" s="1218"/>
      <c r="X50" s="1218"/>
      <c r="Y50" s="1218"/>
      <c r="Z50" s="1218"/>
    </row>
    <row r="51" spans="1:26" s="660" customFormat="1" ht="16.5" customHeight="1" x14ac:dyDescent="0.2">
      <c r="A51" s="662" t="s">
        <v>175</v>
      </c>
      <c r="B51" s="662"/>
      <c r="F51" s="661"/>
      <c r="G51" s="661"/>
      <c r="H51" s="661"/>
      <c r="I51" s="1218"/>
      <c r="J51" s="1218"/>
      <c r="K51" s="1218"/>
      <c r="L51" s="1218"/>
      <c r="M51" s="1218"/>
      <c r="N51" s="1218"/>
      <c r="O51" s="1218"/>
      <c r="P51" s="1218"/>
      <c r="Q51" s="1218"/>
      <c r="R51" s="1218"/>
      <c r="S51" s="1218"/>
      <c r="T51" s="1218"/>
      <c r="U51" s="1218"/>
      <c r="V51" s="1218"/>
      <c r="W51" s="1218"/>
      <c r="X51" s="1218"/>
      <c r="Y51" s="1218"/>
      <c r="Z51" s="1218"/>
    </row>
    <row r="52" spans="1:26" s="193" customFormat="1" ht="6" customHeight="1" x14ac:dyDescent="0.2">
      <c r="I52" s="677"/>
      <c r="J52" s="677"/>
      <c r="K52" s="677"/>
      <c r="L52" s="677"/>
      <c r="M52" s="677"/>
      <c r="N52" s="677"/>
      <c r="O52" s="677"/>
      <c r="P52" s="677"/>
      <c r="Q52" s="677"/>
      <c r="R52" s="677"/>
      <c r="S52" s="677"/>
      <c r="T52" s="677"/>
      <c r="U52" s="677"/>
      <c r="V52" s="677"/>
      <c r="W52" s="677"/>
      <c r="X52" s="677"/>
      <c r="Y52" s="677"/>
      <c r="Z52" s="677"/>
    </row>
    <row r="53" spans="1:26" s="426" customFormat="1" ht="30" customHeight="1" x14ac:dyDescent="0.2">
      <c r="A53" s="424" t="s">
        <v>242</v>
      </c>
      <c r="B53" s="424"/>
      <c r="C53" s="425" t="s">
        <v>244</v>
      </c>
      <c r="D53" s="425" t="s">
        <v>245</v>
      </c>
      <c r="E53" s="425" t="s">
        <v>246</v>
      </c>
      <c r="F53" s="287"/>
      <c r="G53" s="287"/>
      <c r="H53" s="287"/>
      <c r="I53" s="1059"/>
      <c r="J53" s="1059"/>
      <c r="K53" s="1059"/>
      <c r="L53" s="1059"/>
      <c r="M53" s="1059"/>
      <c r="N53" s="1059"/>
      <c r="O53" s="1059"/>
      <c r="P53" s="1059"/>
      <c r="Q53" s="1059"/>
      <c r="R53" s="1059"/>
      <c r="S53" s="1059"/>
      <c r="T53" s="1059"/>
      <c r="U53" s="1059"/>
      <c r="V53" s="1059"/>
      <c r="W53" s="1059"/>
      <c r="X53" s="1059"/>
      <c r="Y53" s="1059"/>
      <c r="Z53" s="1059"/>
    </row>
    <row r="54" spans="1:26" s="33" customFormat="1" ht="16.5" customHeight="1" x14ac:dyDescent="0.2">
      <c r="A54" s="1400" t="s">
        <v>247</v>
      </c>
      <c r="B54" s="1401"/>
      <c r="C54" s="183">
        <f>'BS Analysis Adjustments'!AP14</f>
        <v>3014</v>
      </c>
      <c r="D54" s="1415"/>
      <c r="E54" s="1416"/>
      <c r="F54" s="195"/>
      <c r="G54" s="195"/>
      <c r="H54" s="195"/>
      <c r="I54" s="683"/>
      <c r="J54" s="683"/>
      <c r="K54" s="683"/>
      <c r="L54" s="683"/>
      <c r="M54" s="683"/>
      <c r="N54" s="683"/>
      <c r="O54" s="683"/>
      <c r="P54" s="683"/>
      <c r="Q54" s="683"/>
      <c r="R54" s="683"/>
      <c r="S54" s="683"/>
      <c r="T54" s="683"/>
      <c r="U54" s="683"/>
      <c r="V54" s="683"/>
      <c r="W54" s="683"/>
      <c r="X54" s="683"/>
      <c r="Y54" s="683"/>
      <c r="Z54" s="683"/>
    </row>
    <row r="55" spans="1:26" s="34" customFormat="1" ht="16.5" customHeight="1" x14ac:dyDescent="0.2">
      <c r="A55" s="1402" t="s">
        <v>43</v>
      </c>
      <c r="B55" s="1403"/>
      <c r="C55" s="71">
        <f>'BS Analysis Adjustments'!AP35</f>
        <v>2911</v>
      </c>
      <c r="D55" s="1420"/>
      <c r="E55" s="1421"/>
      <c r="F55" s="194"/>
      <c r="G55" s="194"/>
      <c r="H55" s="194"/>
      <c r="I55" s="684"/>
      <c r="J55" s="684"/>
      <c r="K55" s="684"/>
      <c r="L55" s="684"/>
      <c r="M55" s="684"/>
      <c r="N55" s="684"/>
      <c r="O55" s="684"/>
      <c r="P55" s="684"/>
      <c r="Q55" s="684"/>
      <c r="R55" s="684"/>
      <c r="S55" s="684"/>
      <c r="T55" s="684"/>
      <c r="U55" s="684"/>
      <c r="V55" s="684"/>
      <c r="W55" s="684"/>
      <c r="X55" s="684"/>
      <c r="Y55" s="684"/>
      <c r="Z55" s="684"/>
    </row>
    <row r="56" spans="1:26" s="33" customFormat="1" ht="16.5" customHeight="1" x14ac:dyDescent="0.2">
      <c r="A56" s="1404" t="s">
        <v>248</v>
      </c>
      <c r="B56" s="1405"/>
      <c r="C56" s="33">
        <f>C54-C55</f>
        <v>103</v>
      </c>
      <c r="D56" s="1423"/>
      <c r="E56" s="1424"/>
      <c r="F56" s="195"/>
      <c r="G56" s="195"/>
      <c r="H56" s="195"/>
      <c r="I56" s="683"/>
      <c r="J56" s="683"/>
      <c r="K56" s="683"/>
      <c r="L56" s="683"/>
      <c r="M56" s="683"/>
      <c r="N56" s="683"/>
      <c r="O56" s="683"/>
      <c r="P56" s="683"/>
      <c r="Q56" s="683"/>
      <c r="R56" s="683"/>
      <c r="S56" s="683"/>
      <c r="T56" s="683"/>
      <c r="U56" s="683"/>
      <c r="V56" s="683"/>
      <c r="W56" s="683"/>
      <c r="X56" s="683"/>
      <c r="Y56" s="683"/>
      <c r="Z56" s="683"/>
    </row>
    <row r="57" spans="1:26" s="34" customFormat="1" ht="16.5" customHeight="1" x14ac:dyDescent="0.2">
      <c r="A57" s="1402" t="s">
        <v>50</v>
      </c>
      <c r="B57" s="1403"/>
      <c r="C57" s="584">
        <f>'BS Analysis Adjustments'!AP23</f>
        <v>7698</v>
      </c>
      <c r="D57" s="1420"/>
      <c r="E57" s="1421"/>
      <c r="F57" s="194"/>
      <c r="G57" s="194"/>
      <c r="H57" s="194"/>
      <c r="I57" s="684"/>
      <c r="J57" s="684"/>
      <c r="K57" s="684"/>
      <c r="L57" s="684"/>
      <c r="M57" s="684"/>
      <c r="N57" s="684"/>
      <c r="O57" s="684"/>
      <c r="P57" s="684"/>
      <c r="Q57" s="684"/>
      <c r="R57" s="684"/>
      <c r="S57" s="684"/>
      <c r="T57" s="684"/>
      <c r="U57" s="684"/>
      <c r="V57" s="684"/>
      <c r="W57" s="684"/>
      <c r="X57" s="684"/>
      <c r="Y57" s="684"/>
      <c r="Z57" s="684"/>
    </row>
    <row r="58" spans="1:26" s="666" customFormat="1" ht="16.5" customHeight="1" x14ac:dyDescent="0.2">
      <c r="A58" s="1406" t="s">
        <v>275</v>
      </c>
      <c r="B58" s="1407"/>
      <c r="C58" s="663">
        <f>C56/C57</f>
        <v>1.3380098726942062E-2</v>
      </c>
      <c r="D58" s="663">
        <v>6.56</v>
      </c>
      <c r="E58" s="663">
        <f>C58*D58</f>
        <v>8.7773447648739927E-2</v>
      </c>
      <c r="F58" s="665"/>
      <c r="G58" s="665"/>
      <c r="H58" s="665"/>
      <c r="I58" s="910"/>
      <c r="J58" s="910"/>
      <c r="K58" s="910"/>
      <c r="L58" s="910"/>
      <c r="M58" s="910"/>
      <c r="N58" s="910"/>
      <c r="O58" s="910"/>
      <c r="P58" s="910"/>
      <c r="Q58" s="910"/>
      <c r="R58" s="910"/>
      <c r="S58" s="910"/>
      <c r="T58" s="910"/>
      <c r="U58" s="910"/>
      <c r="V58" s="910"/>
      <c r="W58" s="910"/>
      <c r="X58" s="910"/>
      <c r="Y58" s="910"/>
      <c r="Z58" s="910"/>
    </row>
    <row r="59" spans="1:26" s="193" customFormat="1" ht="6" customHeight="1" x14ac:dyDescent="0.2">
      <c r="I59" s="677"/>
      <c r="J59" s="677"/>
      <c r="K59" s="677"/>
      <c r="L59" s="677"/>
      <c r="M59" s="677"/>
      <c r="N59" s="677"/>
      <c r="O59" s="677"/>
      <c r="P59" s="677"/>
      <c r="Q59" s="677"/>
      <c r="R59" s="677"/>
      <c r="S59" s="677"/>
      <c r="T59" s="677"/>
      <c r="U59" s="677"/>
      <c r="V59" s="677"/>
      <c r="W59" s="677"/>
      <c r="X59" s="677"/>
      <c r="Y59" s="677"/>
      <c r="Z59" s="677"/>
    </row>
    <row r="60" spans="1:26" s="33" customFormat="1" ht="16.5" customHeight="1" x14ac:dyDescent="0.2">
      <c r="A60" s="1400" t="s">
        <v>71</v>
      </c>
      <c r="B60" s="1401"/>
      <c r="C60" s="181">
        <f>'BS Analysis Adjustments'!AP50</f>
        <v>-1610</v>
      </c>
      <c r="D60" s="1415"/>
      <c r="E60" s="1416"/>
      <c r="F60" s="195"/>
      <c r="G60" s="195"/>
      <c r="H60" s="195"/>
      <c r="I60" s="683"/>
      <c r="J60" s="683"/>
      <c r="K60" s="683"/>
      <c r="L60" s="683"/>
      <c r="M60" s="683"/>
      <c r="N60" s="683"/>
      <c r="O60" s="683"/>
      <c r="P60" s="683"/>
      <c r="Q60" s="683"/>
      <c r="R60" s="683"/>
      <c r="S60" s="683"/>
      <c r="T60" s="683"/>
      <c r="U60" s="683"/>
      <c r="V60" s="683"/>
      <c r="W60" s="683"/>
      <c r="X60" s="683"/>
      <c r="Y60" s="683"/>
      <c r="Z60" s="683"/>
    </row>
    <row r="61" spans="1:26" s="39" customFormat="1" ht="16.5" customHeight="1" x14ac:dyDescent="0.2">
      <c r="A61" s="1402" t="s">
        <v>50</v>
      </c>
      <c r="B61" s="1403"/>
      <c r="C61" s="182">
        <f>'BS Analysis Adjustments'!AP23</f>
        <v>7698</v>
      </c>
      <c r="D61" s="1420"/>
      <c r="E61" s="1421"/>
      <c r="F61" s="88"/>
      <c r="G61" s="88"/>
      <c r="H61" s="88"/>
      <c r="I61" s="685"/>
      <c r="J61" s="685"/>
      <c r="K61" s="685"/>
      <c r="L61" s="685"/>
      <c r="M61" s="685"/>
      <c r="N61" s="685"/>
      <c r="O61" s="685"/>
      <c r="P61" s="685"/>
      <c r="Q61" s="685"/>
      <c r="R61" s="685"/>
      <c r="S61" s="685"/>
      <c r="T61" s="685"/>
      <c r="U61" s="685"/>
      <c r="V61" s="685"/>
      <c r="W61" s="685"/>
      <c r="X61" s="685"/>
      <c r="Y61" s="685"/>
      <c r="Z61" s="685"/>
    </row>
    <row r="62" spans="1:26" s="671" customFormat="1" ht="16.5" customHeight="1" x14ac:dyDescent="0.2">
      <c r="A62" s="1406" t="s">
        <v>274</v>
      </c>
      <c r="B62" s="1407"/>
      <c r="C62" s="668">
        <f>C60/C61</f>
        <v>-0.20914523252792933</v>
      </c>
      <c r="D62" s="668">
        <v>3.26</v>
      </c>
      <c r="E62" s="668">
        <f>C62*D62</f>
        <v>-0.68181345804104954</v>
      </c>
      <c r="F62" s="670"/>
      <c r="G62" s="670"/>
      <c r="H62" s="670"/>
      <c r="I62" s="1219"/>
      <c r="J62" s="1219"/>
      <c r="K62" s="1219"/>
      <c r="L62" s="1219"/>
      <c r="M62" s="1219"/>
      <c r="N62" s="1219"/>
      <c r="O62" s="1219"/>
      <c r="P62" s="1219"/>
      <c r="Q62" s="1219"/>
      <c r="R62" s="1219"/>
      <c r="S62" s="1219"/>
      <c r="T62" s="1219"/>
      <c r="U62" s="1219"/>
      <c r="V62" s="1219"/>
      <c r="W62" s="1219"/>
      <c r="X62" s="1219"/>
      <c r="Y62" s="1219"/>
      <c r="Z62" s="1219"/>
    </row>
    <row r="63" spans="1:26" s="193" customFormat="1" ht="6" customHeight="1" x14ac:dyDescent="0.2">
      <c r="I63" s="677"/>
      <c r="J63" s="677"/>
      <c r="K63" s="677"/>
      <c r="L63" s="677"/>
      <c r="M63" s="677"/>
      <c r="N63" s="677"/>
      <c r="O63" s="677"/>
      <c r="P63" s="677"/>
      <c r="Q63" s="677"/>
      <c r="R63" s="677"/>
      <c r="S63" s="677"/>
      <c r="T63" s="677"/>
      <c r="U63" s="677"/>
      <c r="V63" s="677"/>
      <c r="W63" s="677"/>
      <c r="X63" s="677"/>
      <c r="Y63" s="677"/>
      <c r="Z63" s="677"/>
    </row>
    <row r="64" spans="1:26" s="33" customFormat="1" ht="16.5" customHeight="1" x14ac:dyDescent="0.2">
      <c r="A64" s="1400" t="s">
        <v>249</v>
      </c>
      <c r="B64" s="1401"/>
      <c r="C64" s="183">
        <f>'IS Analysis Adjustments'!AP26</f>
        <v>976</v>
      </c>
      <c r="D64" s="1415"/>
      <c r="E64" s="1416"/>
      <c r="F64" s="195"/>
      <c r="G64" s="195"/>
      <c r="H64" s="195"/>
      <c r="I64" s="683"/>
      <c r="J64" s="683"/>
      <c r="K64" s="683"/>
      <c r="L64" s="683"/>
      <c r="M64" s="683"/>
      <c r="N64" s="683"/>
      <c r="O64" s="683"/>
      <c r="P64" s="683"/>
      <c r="Q64" s="683"/>
      <c r="R64" s="683"/>
      <c r="S64" s="683"/>
      <c r="T64" s="683"/>
      <c r="U64" s="683"/>
      <c r="V64" s="683"/>
      <c r="W64" s="683"/>
      <c r="X64" s="683"/>
      <c r="Y64" s="683"/>
      <c r="Z64" s="683"/>
    </row>
    <row r="65" spans="1:26" s="34" customFormat="1" ht="16.5" customHeight="1" x14ac:dyDescent="0.2">
      <c r="A65" s="1402" t="s">
        <v>38</v>
      </c>
      <c r="B65" s="1403"/>
      <c r="C65" s="71">
        <f>-'IS Analysis Adjustments'!AP16</f>
        <v>125</v>
      </c>
      <c r="D65" s="1420"/>
      <c r="E65" s="1421"/>
      <c r="F65" s="194"/>
      <c r="G65" s="194"/>
      <c r="H65" s="194"/>
      <c r="I65" s="684"/>
      <c r="J65" s="684"/>
      <c r="K65" s="684"/>
      <c r="L65" s="684"/>
      <c r="M65" s="684"/>
      <c r="N65" s="684"/>
      <c r="O65" s="684"/>
      <c r="P65" s="684"/>
      <c r="Q65" s="684"/>
      <c r="R65" s="684"/>
      <c r="S65" s="684"/>
      <c r="T65" s="684"/>
      <c r="U65" s="684"/>
      <c r="V65" s="684"/>
      <c r="W65" s="684"/>
      <c r="X65" s="684"/>
      <c r="Y65" s="684"/>
      <c r="Z65" s="684"/>
    </row>
    <row r="66" spans="1:26" s="33" customFormat="1" ht="16.5" customHeight="1" x14ac:dyDescent="0.2">
      <c r="A66" s="1404" t="s">
        <v>250</v>
      </c>
      <c r="B66" s="1405"/>
      <c r="C66" s="33">
        <f>C64+C65</f>
        <v>1101</v>
      </c>
      <c r="D66" s="1423"/>
      <c r="E66" s="1424"/>
      <c r="F66" s="195"/>
      <c r="G66" s="195"/>
      <c r="H66" s="195"/>
      <c r="I66" s="683"/>
      <c r="J66" s="683"/>
      <c r="K66" s="683"/>
      <c r="L66" s="683"/>
      <c r="M66" s="683"/>
      <c r="N66" s="683"/>
      <c r="O66" s="683"/>
      <c r="P66" s="683"/>
      <c r="Q66" s="683"/>
      <c r="R66" s="683"/>
      <c r="S66" s="683"/>
      <c r="T66" s="683"/>
      <c r="U66" s="683"/>
      <c r="V66" s="683"/>
      <c r="W66" s="683"/>
      <c r="X66" s="683"/>
      <c r="Y66" s="683"/>
      <c r="Z66" s="683"/>
    </row>
    <row r="67" spans="1:26" s="39" customFormat="1" ht="16.5" customHeight="1" x14ac:dyDescent="0.2">
      <c r="A67" s="1402" t="s">
        <v>50</v>
      </c>
      <c r="B67" s="1403"/>
      <c r="C67" s="182">
        <f>'BS Analysis Adjustments'!AP23</f>
        <v>7698</v>
      </c>
      <c r="D67" s="1420"/>
      <c r="E67" s="1421"/>
      <c r="F67" s="88"/>
      <c r="G67" s="88"/>
      <c r="H67" s="88"/>
      <c r="I67" s="685"/>
      <c r="J67" s="685"/>
      <c r="K67" s="685"/>
      <c r="L67" s="685"/>
      <c r="M67" s="685"/>
      <c r="N67" s="685"/>
      <c r="O67" s="685"/>
      <c r="P67" s="685"/>
      <c r="Q67" s="685"/>
      <c r="R67" s="685"/>
      <c r="S67" s="685"/>
      <c r="T67" s="685"/>
      <c r="U67" s="685"/>
      <c r="V67" s="685"/>
      <c r="W67" s="685"/>
      <c r="X67" s="685"/>
      <c r="Y67" s="685"/>
      <c r="Z67" s="685"/>
    </row>
    <row r="68" spans="1:26" s="671" customFormat="1" ht="16.5" customHeight="1" x14ac:dyDescent="0.2">
      <c r="A68" s="1406" t="s">
        <v>272</v>
      </c>
      <c r="B68" s="1407"/>
      <c r="C68" s="668">
        <f>C66/C67</f>
        <v>0.14302416212003119</v>
      </c>
      <c r="D68" s="668">
        <v>6.72</v>
      </c>
      <c r="E68" s="668">
        <f>C68*D68</f>
        <v>0.96112236944660956</v>
      </c>
      <c r="F68" s="670"/>
      <c r="G68" s="670"/>
      <c r="H68" s="670"/>
      <c r="I68" s="1219"/>
      <c r="J68" s="1219"/>
      <c r="K68" s="1219"/>
      <c r="L68" s="1219"/>
      <c r="M68" s="1219"/>
      <c r="N68" s="1219"/>
      <c r="O68" s="1219"/>
      <c r="P68" s="1219"/>
      <c r="Q68" s="1219"/>
      <c r="R68" s="1219"/>
      <c r="S68" s="1219"/>
      <c r="T68" s="1219"/>
      <c r="U68" s="1219"/>
      <c r="V68" s="1219"/>
      <c r="W68" s="1219"/>
      <c r="X68" s="1219"/>
      <c r="Y68" s="1219"/>
      <c r="Z68" s="1219"/>
    </row>
    <row r="69" spans="1:26" s="193" customFormat="1" ht="6" customHeight="1" x14ac:dyDescent="0.2">
      <c r="I69" s="677"/>
      <c r="J69" s="677"/>
      <c r="K69" s="677"/>
      <c r="L69" s="677"/>
      <c r="M69" s="677"/>
      <c r="N69" s="677"/>
      <c r="O69" s="677"/>
      <c r="P69" s="677"/>
      <c r="Q69" s="677"/>
      <c r="R69" s="677"/>
      <c r="S69" s="677"/>
      <c r="T69" s="677"/>
      <c r="U69" s="677"/>
      <c r="V69" s="677"/>
      <c r="W69" s="677"/>
      <c r="X69" s="677"/>
      <c r="Y69" s="677"/>
      <c r="Z69" s="677"/>
    </row>
    <row r="70" spans="1:26" s="33" customFormat="1" ht="16.5" customHeight="1" x14ac:dyDescent="0.2">
      <c r="A70" s="1408" t="s">
        <v>176</v>
      </c>
      <c r="B70" s="1401"/>
      <c r="C70" s="183">
        <f>SUM('BS Analysis Adjustments'!AP46:AP52)</f>
        <v>871</v>
      </c>
      <c r="D70" s="1422"/>
      <c r="E70" s="1416"/>
      <c r="F70" s="195"/>
      <c r="G70" s="195"/>
      <c r="H70" s="195"/>
      <c r="I70" s="683"/>
      <c r="J70" s="683"/>
      <c r="K70" s="683"/>
      <c r="L70" s="683"/>
      <c r="M70" s="683"/>
      <c r="N70" s="683"/>
      <c r="O70" s="683"/>
      <c r="P70" s="683"/>
      <c r="Q70" s="683"/>
      <c r="R70" s="683"/>
      <c r="S70" s="683"/>
      <c r="T70" s="683"/>
      <c r="U70" s="683"/>
      <c r="V70" s="683"/>
      <c r="W70" s="683"/>
      <c r="X70" s="683"/>
      <c r="Y70" s="683"/>
      <c r="Z70" s="683"/>
    </row>
    <row r="71" spans="1:26" s="39" customFormat="1" ht="16.5" customHeight="1" x14ac:dyDescent="0.2">
      <c r="A71" s="1402" t="s">
        <v>46</v>
      </c>
      <c r="B71" s="1403"/>
      <c r="C71" s="75">
        <f>'BS Analysis Adjustments'!AP42</f>
        <v>6827</v>
      </c>
      <c r="D71" s="1420"/>
      <c r="E71" s="1421"/>
      <c r="F71" s="88"/>
      <c r="G71" s="88"/>
      <c r="H71" s="88"/>
      <c r="I71" s="685"/>
      <c r="J71" s="685"/>
      <c r="K71" s="685"/>
      <c r="L71" s="685"/>
      <c r="M71" s="685"/>
      <c r="N71" s="685"/>
      <c r="O71" s="685"/>
      <c r="P71" s="685"/>
      <c r="Q71" s="685"/>
      <c r="R71" s="685"/>
      <c r="S71" s="685"/>
      <c r="T71" s="685"/>
      <c r="U71" s="685"/>
      <c r="V71" s="685"/>
      <c r="W71" s="685"/>
      <c r="X71" s="685"/>
      <c r="Y71" s="685"/>
      <c r="Z71" s="685"/>
    </row>
    <row r="72" spans="1:26" s="671" customFormat="1" ht="16.5" customHeight="1" x14ac:dyDescent="0.2">
      <c r="A72" s="1406" t="s">
        <v>273</v>
      </c>
      <c r="B72" s="1407"/>
      <c r="C72" s="668">
        <f>C70/C71</f>
        <v>0.12758166105170646</v>
      </c>
      <c r="D72" s="668">
        <v>1.05</v>
      </c>
      <c r="E72" s="668">
        <f>C72*D72</f>
        <v>0.13396074410429179</v>
      </c>
      <c r="F72" s="670"/>
      <c r="G72" s="670"/>
      <c r="H72" s="670"/>
      <c r="I72" s="1219"/>
      <c r="J72" s="1219"/>
      <c r="K72" s="1219"/>
      <c r="L72" s="1219"/>
      <c r="M72" s="1219"/>
      <c r="N72" s="1219"/>
      <c r="O72" s="1219"/>
      <c r="P72" s="1219"/>
      <c r="Q72" s="1219"/>
      <c r="R72" s="1219"/>
      <c r="S72" s="1219"/>
      <c r="T72" s="1219"/>
      <c r="U72" s="1219"/>
      <c r="V72" s="1219"/>
      <c r="W72" s="1219"/>
      <c r="X72" s="1219"/>
      <c r="Y72" s="1219"/>
      <c r="Z72" s="1219"/>
    </row>
    <row r="73" spans="1:26" s="81" customFormat="1" ht="6" customHeight="1" x14ac:dyDescent="0.2">
      <c r="F73" s="513"/>
      <c r="G73" s="513"/>
      <c r="H73" s="513"/>
      <c r="I73" s="914"/>
      <c r="J73" s="914"/>
      <c r="K73" s="914"/>
      <c r="L73" s="914"/>
      <c r="M73" s="914"/>
      <c r="N73" s="914"/>
      <c r="O73" s="914"/>
      <c r="P73" s="914"/>
      <c r="Q73" s="914"/>
      <c r="R73" s="914"/>
      <c r="S73" s="914"/>
      <c r="T73" s="914"/>
      <c r="U73" s="914"/>
      <c r="V73" s="914"/>
      <c r="W73" s="914"/>
      <c r="X73" s="914"/>
      <c r="Y73" s="914"/>
      <c r="Z73" s="914"/>
    </row>
    <row r="74" spans="1:26" s="674" customFormat="1" ht="16.5" customHeight="1" thickBot="1" x14ac:dyDescent="0.25">
      <c r="A74" s="1417" t="s">
        <v>253</v>
      </c>
      <c r="B74" s="1414"/>
      <c r="C74" s="1413"/>
      <c r="D74" s="1414"/>
      <c r="E74" s="672">
        <f>E58+E62+E68+E72</f>
        <v>0.5010431031585918</v>
      </c>
      <c r="F74" s="673"/>
      <c r="G74" s="673"/>
      <c r="H74" s="673"/>
      <c r="I74" s="1220"/>
      <c r="J74" s="1220"/>
      <c r="K74" s="1220"/>
      <c r="L74" s="1220"/>
      <c r="M74" s="1220"/>
      <c r="N74" s="1220"/>
      <c r="O74" s="1220"/>
      <c r="P74" s="1220"/>
      <c r="Q74" s="1220"/>
      <c r="R74" s="1220"/>
      <c r="S74" s="1220"/>
      <c r="T74" s="1220"/>
      <c r="U74" s="1220"/>
      <c r="V74" s="1220"/>
      <c r="W74" s="1220"/>
      <c r="X74" s="1220"/>
      <c r="Y74" s="1220"/>
      <c r="Z74" s="1220"/>
    </row>
    <row r="75" spans="1:26" s="193" customFormat="1" ht="6" customHeight="1" x14ac:dyDescent="0.2">
      <c r="I75" s="677"/>
      <c r="J75" s="677"/>
      <c r="K75" s="677"/>
      <c r="L75" s="677"/>
      <c r="M75" s="677"/>
      <c r="N75" s="677"/>
      <c r="O75" s="677"/>
      <c r="P75" s="677"/>
      <c r="Q75" s="677"/>
      <c r="R75" s="677"/>
      <c r="S75" s="677"/>
      <c r="T75" s="677"/>
      <c r="U75" s="677"/>
      <c r="V75" s="677"/>
      <c r="W75" s="677"/>
      <c r="X75" s="677"/>
      <c r="Y75" s="677"/>
      <c r="Z75" s="677"/>
    </row>
    <row r="76" spans="1:26" s="426" customFormat="1" ht="16.5" customHeight="1" x14ac:dyDescent="0.2">
      <c r="A76" s="427" t="s">
        <v>266</v>
      </c>
      <c r="B76" s="1418" t="s">
        <v>255</v>
      </c>
      <c r="C76" s="1419"/>
      <c r="D76" s="1419"/>
      <c r="E76" s="1419"/>
      <c r="F76" s="287"/>
      <c r="G76" s="287"/>
      <c r="H76" s="287"/>
      <c r="I76" s="1059"/>
      <c r="J76" s="1059"/>
      <c r="K76" s="1059"/>
      <c r="L76" s="1059"/>
      <c r="M76" s="1059"/>
      <c r="N76" s="1059"/>
      <c r="O76" s="1059"/>
      <c r="P76" s="1059"/>
      <c r="Q76" s="1059"/>
      <c r="R76" s="1059"/>
      <c r="S76" s="1059"/>
      <c r="T76" s="1059"/>
      <c r="U76" s="1059"/>
      <c r="V76" s="1059"/>
      <c r="W76" s="1059"/>
      <c r="X76" s="1059"/>
      <c r="Y76" s="1059"/>
      <c r="Z76" s="1059"/>
    </row>
    <row r="77" spans="1:26" s="666" customFormat="1" ht="16.5" customHeight="1" x14ac:dyDescent="0.2">
      <c r="A77" s="675" t="s">
        <v>267</v>
      </c>
      <c r="B77" s="1411" t="s">
        <v>257</v>
      </c>
      <c r="C77" s="1412"/>
      <c r="D77" s="1412"/>
      <c r="E77" s="1412"/>
      <c r="F77" s="665"/>
      <c r="G77" s="665"/>
      <c r="H77" s="665"/>
      <c r="I77" s="910"/>
      <c r="J77" s="910"/>
      <c r="K77" s="910"/>
      <c r="L77" s="910"/>
      <c r="M77" s="910"/>
      <c r="N77" s="910"/>
      <c r="O77" s="910"/>
      <c r="P77" s="910"/>
      <c r="Q77" s="910"/>
      <c r="R77" s="910"/>
      <c r="S77" s="910"/>
      <c r="T77" s="910"/>
      <c r="U77" s="910"/>
      <c r="V77" s="910"/>
      <c r="W77" s="910"/>
      <c r="X77" s="910"/>
      <c r="Y77" s="910"/>
      <c r="Z77" s="910"/>
    </row>
    <row r="78" spans="1:26" s="666" customFormat="1" ht="16.5" customHeight="1" x14ac:dyDescent="0.2">
      <c r="A78" s="675" t="s">
        <v>268</v>
      </c>
      <c r="B78" s="1411" t="s">
        <v>172</v>
      </c>
      <c r="C78" s="1412"/>
      <c r="D78" s="1412"/>
      <c r="E78" s="1412"/>
      <c r="F78" s="665"/>
      <c r="G78" s="665"/>
      <c r="H78" s="665"/>
      <c r="I78" s="910"/>
      <c r="J78" s="910"/>
      <c r="K78" s="910"/>
      <c r="L78" s="910"/>
      <c r="M78" s="910"/>
      <c r="N78" s="910"/>
      <c r="O78" s="910"/>
      <c r="P78" s="910"/>
      <c r="Q78" s="910"/>
      <c r="R78" s="910"/>
      <c r="S78" s="910"/>
      <c r="T78" s="910"/>
      <c r="U78" s="910"/>
      <c r="V78" s="910"/>
      <c r="W78" s="910"/>
      <c r="X78" s="910"/>
      <c r="Y78" s="910"/>
      <c r="Z78" s="910"/>
    </row>
    <row r="79" spans="1:26" s="666" customFormat="1" ht="16.5" customHeight="1" x14ac:dyDescent="0.2">
      <c r="A79" s="675" t="s">
        <v>269</v>
      </c>
      <c r="B79" s="1411" t="s">
        <v>174</v>
      </c>
      <c r="C79" s="1412"/>
      <c r="D79" s="1412"/>
      <c r="E79" s="1412"/>
      <c r="F79" s="665"/>
      <c r="G79" s="665"/>
      <c r="H79" s="665"/>
      <c r="I79" s="910"/>
      <c r="J79" s="910"/>
      <c r="K79" s="910"/>
      <c r="L79" s="910"/>
      <c r="M79" s="910"/>
      <c r="N79" s="910"/>
      <c r="O79" s="910"/>
      <c r="P79" s="910"/>
      <c r="Q79" s="910"/>
      <c r="R79" s="910"/>
      <c r="S79" s="910"/>
      <c r="T79" s="910"/>
      <c r="U79" s="910"/>
      <c r="V79" s="910"/>
      <c r="W79" s="910"/>
      <c r="X79" s="910"/>
      <c r="Y79" s="910"/>
      <c r="Z79" s="910"/>
    </row>
    <row r="80" spans="1:26" s="195" customFormat="1" ht="16.5" customHeight="1" x14ac:dyDescent="0.2">
      <c r="E80" s="226"/>
      <c r="I80" s="683"/>
      <c r="J80" s="683"/>
      <c r="K80" s="683"/>
      <c r="L80" s="683"/>
      <c r="M80" s="683"/>
      <c r="N80" s="683"/>
      <c r="O80" s="683"/>
      <c r="P80" s="683"/>
      <c r="Q80" s="683"/>
      <c r="R80" s="683"/>
      <c r="S80" s="683"/>
      <c r="T80" s="683"/>
      <c r="U80" s="683"/>
      <c r="V80" s="683"/>
      <c r="W80" s="683"/>
      <c r="X80" s="683"/>
      <c r="Y80" s="683"/>
      <c r="Z80" s="683"/>
    </row>
    <row r="81" spans="5:26" s="87" customFormat="1" ht="16.5" customHeight="1" x14ac:dyDescent="0.2">
      <c r="E81" s="96"/>
      <c r="I81" s="682"/>
      <c r="J81" s="682"/>
      <c r="K81" s="682"/>
      <c r="L81" s="682"/>
      <c r="M81" s="682"/>
      <c r="N81" s="682"/>
      <c r="O81" s="682"/>
      <c r="P81" s="682"/>
      <c r="Q81" s="682"/>
      <c r="R81" s="682"/>
      <c r="S81" s="682"/>
      <c r="T81" s="682"/>
      <c r="U81" s="682"/>
      <c r="V81" s="682"/>
      <c r="W81" s="682"/>
      <c r="X81" s="682"/>
      <c r="Y81" s="682"/>
      <c r="Z81" s="682"/>
    </row>
    <row r="82" spans="5:26" s="87" customFormat="1" ht="16.5" customHeight="1" x14ac:dyDescent="0.2">
      <c r="E82" s="96"/>
      <c r="I82" s="682"/>
      <c r="J82" s="682"/>
      <c r="K82" s="682"/>
      <c r="L82" s="682"/>
      <c r="M82" s="682"/>
      <c r="N82" s="682"/>
      <c r="O82" s="682"/>
      <c r="P82" s="682"/>
      <c r="Q82" s="682"/>
      <c r="R82" s="682"/>
      <c r="S82" s="682"/>
      <c r="T82" s="682"/>
      <c r="U82" s="682"/>
      <c r="V82" s="682"/>
      <c r="W82" s="682"/>
      <c r="X82" s="682"/>
      <c r="Y82" s="682"/>
      <c r="Z82" s="682"/>
    </row>
    <row r="83" spans="5:26" s="87" customFormat="1" ht="16.5" customHeight="1" x14ac:dyDescent="0.2">
      <c r="E83" s="96"/>
      <c r="I83" s="682"/>
      <c r="J83" s="682"/>
      <c r="K83" s="682"/>
      <c r="L83" s="682"/>
      <c r="M83" s="682"/>
      <c r="N83" s="682"/>
      <c r="O83" s="682"/>
      <c r="P83" s="682"/>
      <c r="Q83" s="682"/>
      <c r="R83" s="682"/>
      <c r="S83" s="682"/>
      <c r="T83" s="682"/>
      <c r="U83" s="682"/>
      <c r="V83" s="682"/>
      <c r="W83" s="682"/>
      <c r="X83" s="682"/>
      <c r="Y83" s="682"/>
      <c r="Z83" s="682"/>
    </row>
    <row r="84" spans="5:26" s="87" customFormat="1" ht="16.5" customHeight="1" x14ac:dyDescent="0.2">
      <c r="E84" s="96"/>
      <c r="I84" s="682"/>
      <c r="J84" s="682"/>
      <c r="K84" s="682"/>
      <c r="L84" s="682"/>
      <c r="M84" s="682"/>
      <c r="N84" s="682"/>
      <c r="O84" s="682"/>
      <c r="P84" s="682"/>
      <c r="Q84" s="682"/>
      <c r="R84" s="682"/>
      <c r="S84" s="682"/>
      <c r="T84" s="682"/>
      <c r="U84" s="682"/>
      <c r="V84" s="682"/>
      <c r="W84" s="682"/>
      <c r="X84" s="682"/>
      <c r="Y84" s="682"/>
      <c r="Z84" s="682"/>
    </row>
    <row r="85" spans="5:26" s="87" customFormat="1" ht="16.5" customHeight="1" x14ac:dyDescent="0.2">
      <c r="E85" s="96"/>
      <c r="I85" s="682"/>
      <c r="J85" s="682"/>
      <c r="K85" s="682"/>
      <c r="L85" s="682"/>
      <c r="M85" s="682"/>
      <c r="N85" s="682"/>
      <c r="O85" s="682"/>
      <c r="P85" s="682"/>
      <c r="Q85" s="682"/>
      <c r="R85" s="682"/>
      <c r="S85" s="682"/>
      <c r="T85" s="682"/>
      <c r="U85" s="682"/>
      <c r="V85" s="682"/>
      <c r="W85" s="682"/>
      <c r="X85" s="682"/>
      <c r="Y85" s="682"/>
      <c r="Z85" s="682"/>
    </row>
    <row r="86" spans="5:26" s="87" customFormat="1" ht="16.5" customHeight="1" x14ac:dyDescent="0.2">
      <c r="E86" s="96"/>
      <c r="I86" s="682"/>
      <c r="J86" s="682"/>
      <c r="K86" s="682"/>
      <c r="L86" s="682"/>
      <c r="M86" s="682"/>
      <c r="N86" s="682"/>
      <c r="O86" s="682"/>
      <c r="P86" s="682"/>
      <c r="Q86" s="682"/>
      <c r="R86" s="682"/>
      <c r="S86" s="682"/>
      <c r="T86" s="682"/>
      <c r="U86" s="682"/>
      <c r="V86" s="682"/>
      <c r="W86" s="682"/>
      <c r="X86" s="682"/>
      <c r="Y86" s="682"/>
      <c r="Z86" s="682"/>
    </row>
    <row r="87" spans="5:26" s="87" customFormat="1" ht="16.5" customHeight="1" x14ac:dyDescent="0.2">
      <c r="E87" s="96"/>
      <c r="I87" s="682"/>
      <c r="J87" s="682"/>
      <c r="K87" s="682"/>
      <c r="L87" s="682"/>
      <c r="M87" s="682"/>
      <c r="N87" s="682"/>
      <c r="O87" s="682"/>
      <c r="P87" s="682"/>
      <c r="Q87" s="682"/>
      <c r="R87" s="682"/>
      <c r="S87" s="682"/>
      <c r="T87" s="682"/>
      <c r="U87" s="682"/>
      <c r="V87" s="682"/>
      <c r="W87" s="682"/>
      <c r="X87" s="682"/>
      <c r="Y87" s="682"/>
      <c r="Z87" s="682"/>
    </row>
    <row r="88" spans="5:26" s="87" customFormat="1" ht="16.5" customHeight="1" x14ac:dyDescent="0.2">
      <c r="E88" s="96"/>
      <c r="I88" s="682"/>
      <c r="J88" s="682"/>
      <c r="K88" s="682"/>
      <c r="L88" s="682"/>
      <c r="M88" s="682"/>
      <c r="N88" s="682"/>
      <c r="O88" s="682"/>
      <c r="P88" s="682"/>
      <c r="Q88" s="682"/>
      <c r="R88" s="682"/>
      <c r="S88" s="682"/>
      <c r="T88" s="682"/>
      <c r="U88" s="682"/>
      <c r="V88" s="682"/>
      <c r="W88" s="682"/>
      <c r="X88" s="682"/>
      <c r="Y88" s="682"/>
      <c r="Z88" s="682"/>
    </row>
    <row r="89" spans="5:26" s="87" customFormat="1" ht="16.5" customHeight="1" x14ac:dyDescent="0.2">
      <c r="E89" s="96"/>
      <c r="I89" s="682"/>
      <c r="J89" s="682"/>
      <c r="K89" s="682"/>
      <c r="L89" s="682"/>
      <c r="M89" s="682"/>
      <c r="N89" s="682"/>
      <c r="O89" s="682"/>
      <c r="P89" s="682"/>
      <c r="Q89" s="682"/>
      <c r="R89" s="682"/>
      <c r="S89" s="682"/>
      <c r="T89" s="682"/>
      <c r="U89" s="682"/>
      <c r="V89" s="682"/>
      <c r="W89" s="682"/>
      <c r="X89" s="682"/>
      <c r="Y89" s="682"/>
      <c r="Z89" s="682"/>
    </row>
    <row r="90" spans="5:26" s="87" customFormat="1" ht="16.5" customHeight="1" x14ac:dyDescent="0.2">
      <c r="E90" s="96"/>
      <c r="I90" s="682"/>
      <c r="J90" s="682"/>
      <c r="K90" s="682"/>
      <c r="L90" s="682"/>
      <c r="M90" s="682"/>
      <c r="N90" s="682"/>
      <c r="O90" s="682"/>
      <c r="P90" s="682"/>
      <c r="Q90" s="682"/>
      <c r="R90" s="682"/>
      <c r="S90" s="682"/>
      <c r="T90" s="682"/>
      <c r="U90" s="682"/>
      <c r="V90" s="682"/>
      <c r="W90" s="682"/>
      <c r="X90" s="682"/>
      <c r="Y90" s="682"/>
      <c r="Z90" s="682"/>
    </row>
    <row r="91" spans="5:26" s="87" customFormat="1" ht="16.5" customHeight="1" x14ac:dyDescent="0.2">
      <c r="E91" s="96"/>
      <c r="I91" s="682"/>
      <c r="J91" s="682"/>
      <c r="K91" s="682"/>
      <c r="L91" s="682"/>
      <c r="M91" s="682"/>
      <c r="N91" s="682"/>
      <c r="O91" s="682"/>
      <c r="P91" s="682"/>
      <c r="Q91" s="682"/>
      <c r="R91" s="682"/>
      <c r="S91" s="682"/>
      <c r="T91" s="682"/>
      <c r="U91" s="682"/>
      <c r="V91" s="682"/>
      <c r="W91" s="682"/>
      <c r="X91" s="682"/>
      <c r="Y91" s="682"/>
      <c r="Z91" s="682"/>
    </row>
    <row r="92" spans="5:26" s="87" customFormat="1" ht="16.5" customHeight="1" x14ac:dyDescent="0.2">
      <c r="E92" s="96"/>
      <c r="I92" s="682"/>
      <c r="J92" s="682"/>
      <c r="K92" s="682"/>
      <c r="L92" s="682"/>
      <c r="M92" s="682"/>
      <c r="N92" s="682"/>
      <c r="O92" s="682"/>
      <c r="P92" s="682"/>
      <c r="Q92" s="682"/>
      <c r="R92" s="682"/>
      <c r="S92" s="682"/>
      <c r="T92" s="682"/>
      <c r="U92" s="682"/>
      <c r="V92" s="682"/>
      <c r="W92" s="682"/>
      <c r="X92" s="682"/>
      <c r="Y92" s="682"/>
      <c r="Z92" s="682"/>
    </row>
    <row r="93" spans="5:26" s="87" customFormat="1" ht="16.5" customHeight="1" x14ac:dyDescent="0.2">
      <c r="E93" s="96"/>
      <c r="I93" s="682"/>
      <c r="J93" s="682"/>
      <c r="K93" s="682"/>
      <c r="L93" s="682"/>
      <c r="M93" s="682"/>
      <c r="N93" s="682"/>
      <c r="O93" s="682"/>
      <c r="P93" s="682"/>
      <c r="Q93" s="682"/>
      <c r="R93" s="682"/>
      <c r="S93" s="682"/>
      <c r="T93" s="682"/>
      <c r="U93" s="682"/>
      <c r="V93" s="682"/>
      <c r="W93" s="682"/>
      <c r="X93" s="682"/>
      <c r="Y93" s="682"/>
      <c r="Z93" s="682"/>
    </row>
    <row r="94" spans="5:26" s="87" customFormat="1" ht="16.5" customHeight="1" x14ac:dyDescent="0.2">
      <c r="E94" s="96"/>
      <c r="I94" s="682"/>
      <c r="J94" s="682"/>
      <c r="K94" s="682"/>
      <c r="L94" s="682"/>
      <c r="M94" s="682"/>
      <c r="N94" s="682"/>
      <c r="O94" s="682"/>
      <c r="P94" s="682"/>
      <c r="Q94" s="682"/>
      <c r="R94" s="682"/>
      <c r="S94" s="682"/>
      <c r="T94" s="682"/>
      <c r="U94" s="682"/>
      <c r="V94" s="682"/>
      <c r="W94" s="682"/>
      <c r="X94" s="682"/>
      <c r="Y94" s="682"/>
      <c r="Z94" s="682"/>
    </row>
    <row r="95" spans="5:26" s="87" customFormat="1" ht="16.5" customHeight="1" x14ac:dyDescent="0.2">
      <c r="E95" s="96"/>
      <c r="I95" s="682"/>
      <c r="J95" s="682"/>
      <c r="K95" s="682"/>
      <c r="L95" s="682"/>
      <c r="M95" s="682"/>
      <c r="N95" s="682"/>
      <c r="O95" s="682"/>
      <c r="P95" s="682"/>
      <c r="Q95" s="682"/>
      <c r="R95" s="682"/>
      <c r="S95" s="682"/>
      <c r="T95" s="682"/>
      <c r="U95" s="682"/>
      <c r="V95" s="682"/>
      <c r="W95" s="682"/>
      <c r="X95" s="682"/>
      <c r="Y95" s="682"/>
      <c r="Z95" s="682"/>
    </row>
    <row r="96" spans="5:26" s="87" customFormat="1" ht="16.5" customHeight="1" x14ac:dyDescent="0.2">
      <c r="E96" s="96"/>
      <c r="I96" s="682"/>
      <c r="J96" s="682"/>
      <c r="K96" s="682"/>
      <c r="L96" s="682"/>
      <c r="M96" s="682"/>
      <c r="N96" s="682"/>
      <c r="O96" s="682"/>
      <c r="P96" s="682"/>
      <c r="Q96" s="682"/>
      <c r="R96" s="682"/>
      <c r="S96" s="682"/>
      <c r="T96" s="682"/>
      <c r="U96" s="682"/>
      <c r="V96" s="682"/>
      <c r="W96" s="682"/>
      <c r="X96" s="682"/>
      <c r="Y96" s="682"/>
      <c r="Z96" s="682"/>
    </row>
    <row r="97" spans="5:26" s="87" customFormat="1" ht="16.5" customHeight="1" x14ac:dyDescent="0.2">
      <c r="E97" s="96"/>
      <c r="I97" s="682"/>
      <c r="J97" s="682"/>
      <c r="K97" s="682"/>
      <c r="L97" s="682"/>
      <c r="M97" s="682"/>
      <c r="N97" s="682"/>
      <c r="O97" s="682"/>
      <c r="P97" s="682"/>
      <c r="Q97" s="682"/>
      <c r="R97" s="682"/>
      <c r="S97" s="682"/>
      <c r="T97" s="682"/>
      <c r="U97" s="682"/>
      <c r="V97" s="682"/>
      <c r="W97" s="682"/>
      <c r="X97" s="682"/>
      <c r="Y97" s="682"/>
      <c r="Z97" s="682"/>
    </row>
    <row r="98" spans="5:26" s="87" customFormat="1" ht="16.5" customHeight="1" x14ac:dyDescent="0.2">
      <c r="E98" s="96"/>
      <c r="I98" s="682"/>
      <c r="J98" s="682"/>
      <c r="K98" s="682"/>
      <c r="L98" s="682"/>
      <c r="M98" s="682"/>
      <c r="N98" s="682"/>
      <c r="O98" s="682"/>
      <c r="P98" s="682"/>
      <c r="Q98" s="682"/>
      <c r="R98" s="682"/>
      <c r="S98" s="682"/>
      <c r="T98" s="682"/>
      <c r="U98" s="682"/>
      <c r="V98" s="682"/>
      <c r="W98" s="682"/>
      <c r="X98" s="682"/>
      <c r="Y98" s="682"/>
      <c r="Z98" s="682"/>
    </row>
    <row r="99" spans="5:26" s="87" customFormat="1" ht="16.5" customHeight="1" x14ac:dyDescent="0.2">
      <c r="E99" s="96"/>
      <c r="I99" s="682"/>
      <c r="J99" s="682"/>
      <c r="K99" s="682"/>
      <c r="L99" s="682"/>
      <c r="M99" s="682"/>
      <c r="N99" s="682"/>
      <c r="O99" s="682"/>
      <c r="P99" s="682"/>
      <c r="Q99" s="682"/>
      <c r="R99" s="682"/>
      <c r="S99" s="682"/>
      <c r="T99" s="682"/>
      <c r="U99" s="682"/>
      <c r="V99" s="682"/>
      <c r="W99" s="682"/>
      <c r="X99" s="682"/>
      <c r="Y99" s="682"/>
      <c r="Z99" s="682"/>
    </row>
    <row r="100" spans="5:26" s="87" customFormat="1" ht="16.5" customHeight="1" x14ac:dyDescent="0.2">
      <c r="E100" s="96"/>
      <c r="I100" s="682"/>
      <c r="J100" s="682"/>
      <c r="K100" s="682"/>
      <c r="L100" s="682"/>
      <c r="M100" s="682"/>
      <c r="N100" s="682"/>
      <c r="O100" s="682"/>
      <c r="P100" s="682"/>
      <c r="Q100" s="682"/>
      <c r="R100" s="682"/>
      <c r="S100" s="682"/>
      <c r="T100" s="682"/>
      <c r="U100" s="682"/>
      <c r="V100" s="682"/>
      <c r="W100" s="682"/>
      <c r="X100" s="682"/>
      <c r="Y100" s="682"/>
      <c r="Z100" s="682"/>
    </row>
    <row r="101" spans="5:26" s="87" customFormat="1" ht="16.5" customHeight="1" x14ac:dyDescent="0.2">
      <c r="E101" s="96"/>
      <c r="I101" s="682"/>
      <c r="J101" s="682"/>
      <c r="K101" s="682"/>
      <c r="L101" s="682"/>
      <c r="M101" s="682"/>
      <c r="N101" s="682"/>
      <c r="O101" s="682"/>
      <c r="P101" s="682"/>
      <c r="Q101" s="682"/>
      <c r="R101" s="682"/>
      <c r="S101" s="682"/>
      <c r="T101" s="682"/>
      <c r="U101" s="682"/>
      <c r="V101" s="682"/>
      <c r="W101" s="682"/>
      <c r="X101" s="682"/>
      <c r="Y101" s="682"/>
      <c r="Z101" s="682"/>
    </row>
    <row r="102" spans="5:26" s="87" customFormat="1" ht="16.5" customHeight="1" x14ac:dyDescent="0.2">
      <c r="E102" s="96"/>
      <c r="I102" s="682"/>
      <c r="J102" s="682"/>
      <c r="K102" s="682"/>
      <c r="L102" s="682"/>
      <c r="M102" s="682"/>
      <c r="N102" s="682"/>
      <c r="O102" s="682"/>
      <c r="P102" s="682"/>
      <c r="Q102" s="682"/>
      <c r="R102" s="682"/>
      <c r="S102" s="682"/>
      <c r="T102" s="682"/>
      <c r="U102" s="682"/>
      <c r="V102" s="682"/>
      <c r="W102" s="682"/>
      <c r="X102" s="682"/>
      <c r="Y102" s="682"/>
      <c r="Z102" s="682"/>
    </row>
    <row r="103" spans="5:26" s="87" customFormat="1" ht="16.5" customHeight="1" x14ac:dyDescent="0.2">
      <c r="E103" s="96"/>
      <c r="I103" s="682"/>
      <c r="J103" s="682"/>
      <c r="K103" s="682"/>
      <c r="L103" s="682"/>
      <c r="M103" s="682"/>
      <c r="N103" s="682"/>
      <c r="O103" s="682"/>
      <c r="P103" s="682"/>
      <c r="Q103" s="682"/>
      <c r="R103" s="682"/>
      <c r="S103" s="682"/>
      <c r="T103" s="682"/>
      <c r="U103" s="682"/>
      <c r="V103" s="682"/>
      <c r="W103" s="682"/>
      <c r="X103" s="682"/>
      <c r="Y103" s="682"/>
      <c r="Z103" s="682"/>
    </row>
    <row r="104" spans="5:26" s="87" customFormat="1" ht="16.5" customHeight="1" x14ac:dyDescent="0.2">
      <c r="E104" s="96"/>
      <c r="I104" s="682"/>
      <c r="J104" s="682"/>
      <c r="K104" s="682"/>
      <c r="L104" s="682"/>
      <c r="M104" s="682"/>
      <c r="N104" s="682"/>
      <c r="O104" s="682"/>
      <c r="P104" s="682"/>
      <c r="Q104" s="682"/>
      <c r="R104" s="682"/>
      <c r="S104" s="682"/>
      <c r="T104" s="682"/>
      <c r="U104" s="682"/>
      <c r="V104" s="682"/>
      <c r="W104" s="682"/>
      <c r="X104" s="682"/>
      <c r="Y104" s="682"/>
      <c r="Z104" s="682"/>
    </row>
    <row r="105" spans="5:26" s="87" customFormat="1" ht="16.5" customHeight="1" x14ac:dyDescent="0.2">
      <c r="E105" s="96"/>
      <c r="I105" s="682"/>
      <c r="J105" s="682"/>
      <c r="K105" s="682"/>
      <c r="L105" s="682"/>
      <c r="M105" s="682"/>
      <c r="N105" s="682"/>
      <c r="O105" s="682"/>
      <c r="P105" s="682"/>
      <c r="Q105" s="682"/>
      <c r="R105" s="682"/>
      <c r="S105" s="682"/>
      <c r="T105" s="682"/>
      <c r="U105" s="682"/>
      <c r="V105" s="682"/>
      <c r="W105" s="682"/>
      <c r="X105" s="682"/>
      <c r="Y105" s="682"/>
      <c r="Z105" s="682"/>
    </row>
    <row r="106" spans="5:26" s="87" customFormat="1" ht="16.5" customHeight="1" x14ac:dyDescent="0.2">
      <c r="E106" s="96"/>
      <c r="I106" s="682"/>
      <c r="J106" s="682"/>
      <c r="K106" s="682"/>
      <c r="L106" s="682"/>
      <c r="M106" s="682"/>
      <c r="N106" s="682"/>
      <c r="O106" s="682"/>
      <c r="P106" s="682"/>
      <c r="Q106" s="682"/>
      <c r="R106" s="682"/>
      <c r="S106" s="682"/>
      <c r="T106" s="682"/>
      <c r="U106" s="682"/>
      <c r="V106" s="682"/>
      <c r="W106" s="682"/>
      <c r="X106" s="682"/>
      <c r="Y106" s="682"/>
      <c r="Z106" s="682"/>
    </row>
    <row r="107" spans="5:26" s="87" customFormat="1" ht="16.5" customHeight="1" x14ac:dyDescent="0.2">
      <c r="E107" s="96"/>
      <c r="I107" s="682"/>
      <c r="J107" s="682"/>
      <c r="K107" s="682"/>
      <c r="L107" s="682"/>
      <c r="M107" s="682"/>
      <c r="N107" s="682"/>
      <c r="O107" s="682"/>
      <c r="P107" s="682"/>
      <c r="Q107" s="682"/>
      <c r="R107" s="682"/>
      <c r="S107" s="682"/>
      <c r="T107" s="682"/>
      <c r="U107" s="682"/>
      <c r="V107" s="682"/>
      <c r="W107" s="682"/>
      <c r="X107" s="682"/>
      <c r="Y107" s="682"/>
      <c r="Z107" s="682"/>
    </row>
    <row r="108" spans="5:26" s="87" customFormat="1" ht="16.5" customHeight="1" x14ac:dyDescent="0.2">
      <c r="E108" s="96"/>
      <c r="I108" s="682"/>
      <c r="J108" s="682"/>
      <c r="K108" s="682"/>
      <c r="L108" s="682"/>
      <c r="M108" s="682"/>
      <c r="N108" s="682"/>
      <c r="O108" s="682"/>
      <c r="P108" s="682"/>
      <c r="Q108" s="682"/>
      <c r="R108" s="682"/>
      <c r="S108" s="682"/>
      <c r="T108" s="682"/>
      <c r="U108" s="682"/>
      <c r="V108" s="682"/>
      <c r="W108" s="682"/>
      <c r="X108" s="682"/>
      <c r="Y108" s="682"/>
      <c r="Z108" s="682"/>
    </row>
    <row r="109" spans="5:26" s="87" customFormat="1" ht="16.5" customHeight="1" x14ac:dyDescent="0.2">
      <c r="E109" s="96"/>
      <c r="I109" s="682"/>
      <c r="J109" s="682"/>
      <c r="K109" s="682"/>
      <c r="L109" s="682"/>
      <c r="M109" s="682"/>
      <c r="N109" s="682"/>
      <c r="O109" s="682"/>
      <c r="P109" s="682"/>
      <c r="Q109" s="682"/>
      <c r="R109" s="682"/>
      <c r="S109" s="682"/>
      <c r="T109" s="682"/>
      <c r="U109" s="682"/>
      <c r="V109" s="682"/>
      <c r="W109" s="682"/>
      <c r="X109" s="682"/>
      <c r="Y109" s="682"/>
      <c r="Z109" s="682"/>
    </row>
    <row r="110" spans="5:26" s="87" customFormat="1" ht="16.5" customHeight="1" x14ac:dyDescent="0.2">
      <c r="E110" s="96"/>
      <c r="I110" s="682"/>
      <c r="J110" s="682"/>
      <c r="K110" s="682"/>
      <c r="L110" s="682"/>
      <c r="M110" s="682"/>
      <c r="N110" s="682"/>
      <c r="O110" s="682"/>
      <c r="P110" s="682"/>
      <c r="Q110" s="682"/>
      <c r="R110" s="682"/>
      <c r="S110" s="682"/>
      <c r="T110" s="682"/>
      <c r="U110" s="682"/>
      <c r="V110" s="682"/>
      <c r="W110" s="682"/>
      <c r="X110" s="682"/>
      <c r="Y110" s="682"/>
      <c r="Z110" s="682"/>
    </row>
    <row r="111" spans="5:26" s="87" customFormat="1" ht="16.5" customHeight="1" x14ac:dyDescent="0.2">
      <c r="E111" s="96"/>
      <c r="I111" s="682"/>
      <c r="J111" s="682"/>
      <c r="K111" s="682"/>
      <c r="L111" s="682"/>
      <c r="M111" s="682"/>
      <c r="N111" s="682"/>
      <c r="O111" s="682"/>
      <c r="P111" s="682"/>
      <c r="Q111" s="682"/>
      <c r="R111" s="682"/>
      <c r="S111" s="682"/>
      <c r="T111" s="682"/>
      <c r="U111" s="682"/>
      <c r="V111" s="682"/>
      <c r="W111" s="682"/>
      <c r="X111" s="682"/>
      <c r="Y111" s="682"/>
      <c r="Z111" s="682"/>
    </row>
    <row r="112" spans="5:26" s="87" customFormat="1" ht="16.5" customHeight="1" x14ac:dyDescent="0.2">
      <c r="E112" s="96"/>
      <c r="I112" s="682"/>
      <c r="J112" s="682"/>
      <c r="K112" s="682"/>
      <c r="L112" s="682"/>
      <c r="M112" s="682"/>
      <c r="N112" s="682"/>
      <c r="O112" s="682"/>
      <c r="P112" s="682"/>
      <c r="Q112" s="682"/>
      <c r="R112" s="682"/>
      <c r="S112" s="682"/>
      <c r="T112" s="682"/>
      <c r="U112" s="682"/>
      <c r="V112" s="682"/>
      <c r="W112" s="682"/>
      <c r="X112" s="682"/>
      <c r="Y112" s="682"/>
      <c r="Z112" s="682"/>
    </row>
    <row r="113" spans="1:26" s="87" customFormat="1" ht="16.5" customHeight="1" x14ac:dyDescent="0.2">
      <c r="E113" s="96"/>
      <c r="I113" s="682"/>
      <c r="J113" s="682"/>
      <c r="K113" s="682"/>
      <c r="L113" s="682"/>
      <c r="M113" s="682"/>
      <c r="N113" s="682"/>
      <c r="O113" s="682"/>
      <c r="P113" s="682"/>
      <c r="Q113" s="682"/>
      <c r="R113" s="682"/>
      <c r="S113" s="682"/>
      <c r="T113" s="682"/>
      <c r="U113" s="682"/>
      <c r="V113" s="682"/>
      <c r="W113" s="682"/>
      <c r="X113" s="682"/>
      <c r="Y113" s="682"/>
      <c r="Z113" s="682"/>
    </row>
    <row r="114" spans="1:26" s="87" customFormat="1" ht="16.5" customHeight="1" x14ac:dyDescent="0.2">
      <c r="E114" s="96"/>
      <c r="I114" s="682"/>
      <c r="J114" s="682"/>
      <c r="K114" s="682"/>
      <c r="L114" s="682"/>
      <c r="M114" s="682"/>
      <c r="N114" s="682"/>
      <c r="O114" s="682"/>
      <c r="P114" s="682"/>
      <c r="Q114" s="682"/>
      <c r="R114" s="682"/>
      <c r="S114" s="682"/>
      <c r="T114" s="682"/>
      <c r="U114" s="682"/>
      <c r="V114" s="682"/>
      <c r="W114" s="682"/>
      <c r="X114" s="682"/>
      <c r="Y114" s="682"/>
      <c r="Z114" s="682"/>
    </row>
    <row r="115" spans="1:26" s="87" customFormat="1" ht="16.5" customHeight="1" x14ac:dyDescent="0.2">
      <c r="E115" s="96"/>
      <c r="I115" s="682"/>
      <c r="J115" s="682"/>
      <c r="K115" s="682"/>
      <c r="L115" s="682"/>
      <c r="M115" s="682"/>
      <c r="N115" s="682"/>
      <c r="O115" s="682"/>
      <c r="P115" s="682"/>
      <c r="Q115" s="682"/>
      <c r="R115" s="682"/>
      <c r="S115" s="682"/>
      <c r="T115" s="682"/>
      <c r="U115" s="682"/>
      <c r="V115" s="682"/>
      <c r="W115" s="682"/>
      <c r="X115" s="682"/>
      <c r="Y115" s="682"/>
      <c r="Z115" s="682"/>
    </row>
    <row r="116" spans="1:26" s="87" customFormat="1" ht="16.5" customHeight="1" x14ac:dyDescent="0.2">
      <c r="E116" s="96"/>
      <c r="I116" s="682"/>
      <c r="J116" s="682"/>
      <c r="K116" s="682"/>
      <c r="L116" s="682"/>
      <c r="M116" s="682"/>
      <c r="N116" s="682"/>
      <c r="O116" s="682"/>
      <c r="P116" s="682"/>
      <c r="Q116" s="682"/>
      <c r="R116" s="682"/>
      <c r="S116" s="682"/>
      <c r="T116" s="682"/>
      <c r="U116" s="682"/>
      <c r="V116" s="682"/>
      <c r="W116" s="682"/>
      <c r="X116" s="682"/>
      <c r="Y116" s="682"/>
      <c r="Z116" s="682"/>
    </row>
    <row r="117" spans="1:26" s="87" customFormat="1" ht="16.5" customHeight="1" x14ac:dyDescent="0.2">
      <c r="E117" s="96"/>
      <c r="I117" s="682"/>
      <c r="J117" s="682"/>
      <c r="K117" s="682"/>
      <c r="L117" s="682"/>
      <c r="M117" s="682"/>
      <c r="N117" s="682"/>
      <c r="O117" s="682"/>
      <c r="P117" s="682"/>
      <c r="Q117" s="682"/>
      <c r="R117" s="682"/>
      <c r="S117" s="682"/>
      <c r="T117" s="682"/>
      <c r="U117" s="682"/>
      <c r="V117" s="682"/>
      <c r="W117" s="682"/>
      <c r="X117" s="682"/>
      <c r="Y117" s="682"/>
      <c r="Z117" s="682"/>
    </row>
    <row r="118" spans="1:26" s="87" customFormat="1" ht="16.5" customHeight="1" x14ac:dyDescent="0.2">
      <c r="E118" s="96"/>
      <c r="I118" s="682"/>
      <c r="J118" s="682"/>
      <c r="K118" s="682"/>
      <c r="L118" s="682"/>
      <c r="M118" s="682"/>
      <c r="N118" s="682"/>
      <c r="O118" s="682"/>
      <c r="P118" s="682"/>
      <c r="Q118" s="682"/>
      <c r="R118" s="682"/>
      <c r="S118" s="682"/>
      <c r="T118" s="682"/>
      <c r="U118" s="682"/>
      <c r="V118" s="682"/>
      <c r="W118" s="682"/>
      <c r="X118" s="682"/>
      <c r="Y118" s="682"/>
      <c r="Z118" s="682"/>
    </row>
    <row r="119" spans="1:26" s="87" customFormat="1" ht="16.5" customHeight="1" x14ac:dyDescent="0.2">
      <c r="E119" s="96"/>
      <c r="I119" s="682"/>
      <c r="J119" s="682"/>
      <c r="K119" s="682"/>
      <c r="L119" s="682"/>
      <c r="M119" s="682"/>
      <c r="N119" s="682"/>
      <c r="O119" s="682"/>
      <c r="P119" s="682"/>
      <c r="Q119" s="682"/>
      <c r="R119" s="682"/>
      <c r="S119" s="682"/>
      <c r="T119" s="682"/>
      <c r="U119" s="682"/>
      <c r="V119" s="682"/>
      <c r="W119" s="682"/>
      <c r="X119" s="682"/>
      <c r="Y119" s="682"/>
      <c r="Z119" s="682"/>
    </row>
    <row r="120" spans="1:26" s="87" customFormat="1" ht="16.5" customHeight="1" x14ac:dyDescent="0.2">
      <c r="E120" s="96"/>
      <c r="I120" s="682"/>
      <c r="J120" s="682"/>
      <c r="K120" s="682"/>
      <c r="L120" s="682"/>
      <c r="M120" s="682"/>
      <c r="N120" s="682"/>
      <c r="O120" s="682"/>
      <c r="P120" s="682"/>
      <c r="Q120" s="682"/>
      <c r="R120" s="682"/>
      <c r="S120" s="682"/>
      <c r="T120" s="682"/>
      <c r="U120" s="682"/>
      <c r="V120" s="682"/>
      <c r="W120" s="682"/>
      <c r="X120" s="682"/>
      <c r="Y120" s="682"/>
      <c r="Z120" s="682"/>
    </row>
    <row r="121" spans="1:26" s="87" customFormat="1" ht="16.5" customHeight="1" x14ac:dyDescent="0.2">
      <c r="E121" s="96"/>
      <c r="I121" s="682"/>
      <c r="J121" s="682"/>
      <c r="K121" s="682"/>
      <c r="L121" s="682"/>
      <c r="M121" s="682"/>
      <c r="N121" s="682"/>
      <c r="O121" s="682"/>
      <c r="P121" s="682"/>
      <c r="Q121" s="682"/>
      <c r="R121" s="682"/>
      <c r="S121" s="682"/>
      <c r="T121" s="682"/>
      <c r="U121" s="682"/>
      <c r="V121" s="682"/>
      <c r="W121" s="682"/>
      <c r="X121" s="682"/>
      <c r="Y121" s="682"/>
      <c r="Z121" s="682"/>
    </row>
    <row r="122" spans="1:26" s="87" customFormat="1" ht="16.5" customHeight="1" x14ac:dyDescent="0.2">
      <c r="E122" s="96"/>
      <c r="I122" s="682"/>
      <c r="J122" s="682"/>
      <c r="K122" s="682"/>
      <c r="L122" s="682"/>
      <c r="M122" s="682"/>
      <c r="N122" s="682"/>
      <c r="O122" s="682"/>
      <c r="P122" s="682"/>
      <c r="Q122" s="682"/>
      <c r="R122" s="682"/>
      <c r="S122" s="682"/>
      <c r="T122" s="682"/>
      <c r="U122" s="682"/>
      <c r="V122" s="682"/>
      <c r="W122" s="682"/>
      <c r="X122" s="682"/>
      <c r="Y122" s="682"/>
      <c r="Z122" s="682"/>
    </row>
    <row r="123" spans="1:26" s="87" customFormat="1" ht="16.5" customHeight="1" x14ac:dyDescent="0.2">
      <c r="E123" s="96"/>
      <c r="I123" s="682"/>
      <c r="J123" s="682"/>
      <c r="K123" s="682"/>
      <c r="L123" s="682"/>
      <c r="M123" s="682"/>
      <c r="N123" s="682"/>
      <c r="O123" s="682"/>
      <c r="P123" s="682"/>
      <c r="Q123" s="682"/>
      <c r="R123" s="682"/>
      <c r="S123" s="682"/>
      <c r="T123" s="682"/>
      <c r="U123" s="682"/>
      <c r="V123" s="682"/>
      <c r="W123" s="682"/>
      <c r="X123" s="682"/>
      <c r="Y123" s="682"/>
      <c r="Z123" s="682"/>
    </row>
    <row r="124" spans="1:26" s="87" customFormat="1" ht="16.5" customHeight="1" x14ac:dyDescent="0.2">
      <c r="E124" s="96"/>
      <c r="I124" s="682"/>
      <c r="J124" s="682"/>
      <c r="K124" s="682"/>
      <c r="L124" s="682"/>
      <c r="M124" s="682"/>
      <c r="N124" s="682"/>
      <c r="O124" s="682"/>
      <c r="P124" s="682"/>
      <c r="Q124" s="682"/>
      <c r="R124" s="682"/>
      <c r="S124" s="682"/>
      <c r="T124" s="682"/>
      <c r="U124" s="682"/>
      <c r="V124" s="682"/>
      <c r="W124" s="682"/>
      <c r="X124" s="682"/>
      <c r="Y124" s="682"/>
      <c r="Z124" s="682"/>
    </row>
    <row r="125" spans="1:26" s="87" customFormat="1" ht="16.5" customHeight="1" x14ac:dyDescent="0.2">
      <c r="E125" s="96"/>
      <c r="I125" s="682"/>
      <c r="J125" s="682"/>
      <c r="K125" s="682"/>
      <c r="L125" s="682"/>
      <c r="M125" s="682"/>
      <c r="N125" s="682"/>
      <c r="O125" s="682"/>
      <c r="P125" s="682"/>
      <c r="Q125" s="682"/>
      <c r="R125" s="682"/>
      <c r="S125" s="682"/>
      <c r="T125" s="682"/>
      <c r="U125" s="682"/>
      <c r="V125" s="682"/>
      <c r="W125" s="682"/>
      <c r="X125" s="682"/>
      <c r="Y125" s="682"/>
      <c r="Z125" s="682"/>
    </row>
    <row r="126" spans="1:26" s="87" customFormat="1" ht="16.5" hidden="1" customHeight="1" x14ac:dyDescent="0.2">
      <c r="A126" s="31"/>
      <c r="C126" s="832" t="s">
        <v>790</v>
      </c>
      <c r="D126" s="832" t="s">
        <v>793</v>
      </c>
      <c r="E126" s="31"/>
      <c r="I126" s="682"/>
      <c r="J126" s="682"/>
      <c r="K126" s="682"/>
      <c r="L126" s="682"/>
      <c r="M126" s="682"/>
      <c r="N126" s="682"/>
      <c r="O126" s="682"/>
      <c r="P126" s="682"/>
      <c r="Q126" s="682"/>
      <c r="R126" s="682"/>
      <c r="S126" s="682"/>
      <c r="T126" s="682"/>
      <c r="U126" s="682"/>
      <c r="V126" s="682"/>
      <c r="W126" s="682"/>
      <c r="X126" s="682"/>
      <c r="Y126" s="682"/>
      <c r="Z126" s="682"/>
    </row>
    <row r="127" spans="1:26" ht="16.5" hidden="1" customHeight="1" x14ac:dyDescent="0.2">
      <c r="A127" s="347" t="s">
        <v>709</v>
      </c>
      <c r="C127" s="833" t="s">
        <v>791</v>
      </c>
      <c r="D127" s="833" t="s">
        <v>791</v>
      </c>
      <c r="E127" s="835" t="s">
        <v>794</v>
      </c>
    </row>
    <row r="128" spans="1:26" ht="16.5" hidden="1" customHeight="1" x14ac:dyDescent="0.2">
      <c r="A128" s="31" t="s">
        <v>789</v>
      </c>
      <c r="C128" s="31">
        <v>300</v>
      </c>
      <c r="D128" s="31">
        <v>280</v>
      </c>
      <c r="E128" s="740">
        <f>D128/C128</f>
        <v>0.93333333333333335</v>
      </c>
    </row>
    <row r="129" spans="1:5" ht="16.5" hidden="1" customHeight="1" x14ac:dyDescent="0.2">
      <c r="A129" s="31" t="s">
        <v>713</v>
      </c>
      <c r="C129" s="31">
        <v>300</v>
      </c>
      <c r="D129" s="31">
        <v>150</v>
      </c>
      <c r="E129" s="740">
        <f t="shared" ref="E129:E152" si="0">D129/C129</f>
        <v>0.5</v>
      </c>
    </row>
    <row r="130" spans="1:5" ht="16.5" hidden="1" customHeight="1" x14ac:dyDescent="0.2">
      <c r="A130" s="31" t="s">
        <v>714</v>
      </c>
      <c r="C130" s="31">
        <v>300</v>
      </c>
      <c r="D130" s="31">
        <v>280</v>
      </c>
      <c r="E130" s="740">
        <f t="shared" si="0"/>
        <v>0.93333333333333335</v>
      </c>
    </row>
    <row r="131" spans="1:5" ht="16.5" hidden="1" customHeight="1" x14ac:dyDescent="0.2">
      <c r="A131" s="347" t="s">
        <v>710</v>
      </c>
      <c r="E131" s="740"/>
    </row>
    <row r="132" spans="1:5" ht="16.5" hidden="1" customHeight="1" x14ac:dyDescent="0.2">
      <c r="A132" s="31" t="s">
        <v>715</v>
      </c>
      <c r="C132" s="31">
        <v>250</v>
      </c>
      <c r="D132" s="31">
        <v>220</v>
      </c>
      <c r="E132" s="740">
        <f t="shared" si="0"/>
        <v>0.88</v>
      </c>
    </row>
    <row r="133" spans="1:5" ht="16.5" hidden="1" customHeight="1" x14ac:dyDescent="0.2">
      <c r="A133" s="31" t="s">
        <v>716</v>
      </c>
      <c r="C133" s="31">
        <v>250</v>
      </c>
      <c r="D133" s="31">
        <v>220</v>
      </c>
      <c r="E133" s="740">
        <f t="shared" si="0"/>
        <v>0.88</v>
      </c>
    </row>
    <row r="134" spans="1:5" ht="16.5" hidden="1" customHeight="1" x14ac:dyDescent="0.2">
      <c r="A134" s="31" t="s">
        <v>717</v>
      </c>
      <c r="C134" s="31">
        <v>250</v>
      </c>
      <c r="D134" s="31">
        <v>220</v>
      </c>
      <c r="E134" s="740">
        <f t="shared" si="0"/>
        <v>0.88</v>
      </c>
    </row>
    <row r="135" spans="1:5" ht="16.5" hidden="1" customHeight="1" x14ac:dyDescent="0.2">
      <c r="A135" s="31" t="s">
        <v>718</v>
      </c>
      <c r="C135" s="31">
        <v>300</v>
      </c>
      <c r="D135" s="31">
        <v>280</v>
      </c>
      <c r="E135" s="740">
        <f t="shared" si="0"/>
        <v>0.93333333333333335</v>
      </c>
    </row>
    <row r="136" spans="1:5" ht="16.5" hidden="1" customHeight="1" x14ac:dyDescent="0.2">
      <c r="A136" s="347" t="s">
        <v>498</v>
      </c>
      <c r="E136" s="740"/>
    </row>
    <row r="137" spans="1:5" ht="16.5" hidden="1" customHeight="1" x14ac:dyDescent="0.2">
      <c r="A137" s="31" t="s">
        <v>780</v>
      </c>
      <c r="C137" s="31">
        <v>250</v>
      </c>
      <c r="D137" s="31">
        <v>230</v>
      </c>
      <c r="E137" s="740">
        <f t="shared" si="0"/>
        <v>0.92</v>
      </c>
    </row>
    <row r="138" spans="1:5" ht="16.5" hidden="1" customHeight="1" x14ac:dyDescent="0.2">
      <c r="A138" s="31" t="s">
        <v>781</v>
      </c>
      <c r="C138" s="31">
        <v>250</v>
      </c>
      <c r="D138" s="31">
        <v>220</v>
      </c>
      <c r="E138" s="740">
        <f t="shared" si="0"/>
        <v>0.88</v>
      </c>
    </row>
    <row r="139" spans="1:5" ht="16.5" hidden="1" customHeight="1" x14ac:dyDescent="0.2">
      <c r="A139" s="31" t="s">
        <v>782</v>
      </c>
      <c r="C139" s="31">
        <v>300</v>
      </c>
      <c r="D139" s="31">
        <v>250</v>
      </c>
      <c r="E139" s="740">
        <f t="shared" si="0"/>
        <v>0.83333333333333337</v>
      </c>
    </row>
    <row r="140" spans="1:5" ht="16.5" hidden="1" customHeight="1" x14ac:dyDescent="0.2">
      <c r="A140" s="31" t="s">
        <v>783</v>
      </c>
      <c r="C140" s="31">
        <v>150</v>
      </c>
      <c r="D140" s="31">
        <v>130</v>
      </c>
      <c r="E140" s="740">
        <f t="shared" si="0"/>
        <v>0.8666666666666667</v>
      </c>
    </row>
    <row r="141" spans="1:5" ht="16.5" hidden="1" customHeight="1" x14ac:dyDescent="0.2">
      <c r="A141" s="31" t="s">
        <v>784</v>
      </c>
      <c r="C141" s="31">
        <v>150</v>
      </c>
      <c r="D141" s="31">
        <v>130</v>
      </c>
      <c r="E141" s="740">
        <f t="shared" si="0"/>
        <v>0.8666666666666667</v>
      </c>
    </row>
    <row r="142" spans="1:5" ht="16.5" hidden="1" customHeight="1" x14ac:dyDescent="0.2">
      <c r="A142" s="31" t="s">
        <v>785</v>
      </c>
      <c r="C142" s="31">
        <v>300</v>
      </c>
      <c r="D142" s="31">
        <v>250</v>
      </c>
      <c r="E142" s="740">
        <f t="shared" si="0"/>
        <v>0.83333333333333337</v>
      </c>
    </row>
    <row r="143" spans="1:5" ht="16.5" hidden="1" customHeight="1" x14ac:dyDescent="0.2">
      <c r="A143" s="347" t="s">
        <v>711</v>
      </c>
      <c r="E143" s="740"/>
    </row>
    <row r="144" spans="1:5" ht="16.5" hidden="1" customHeight="1" x14ac:dyDescent="0.2">
      <c r="A144" s="31" t="s">
        <v>786</v>
      </c>
      <c r="C144" s="31">
        <v>300</v>
      </c>
      <c r="D144" s="31">
        <v>280</v>
      </c>
      <c r="E144" s="740">
        <f t="shared" si="0"/>
        <v>0.93333333333333335</v>
      </c>
    </row>
    <row r="145" spans="1:5" ht="16.5" hidden="1" customHeight="1" x14ac:dyDescent="0.2">
      <c r="A145" s="347" t="s">
        <v>712</v>
      </c>
      <c r="E145" s="740"/>
    </row>
    <row r="146" spans="1:5" ht="16.5" hidden="1" customHeight="1" x14ac:dyDescent="0.2">
      <c r="A146" s="31" t="s">
        <v>362</v>
      </c>
      <c r="C146" s="31">
        <v>150</v>
      </c>
      <c r="D146" s="31">
        <v>130</v>
      </c>
      <c r="E146" s="740">
        <f t="shared" si="0"/>
        <v>0.8666666666666667</v>
      </c>
    </row>
    <row r="147" spans="1:5" ht="16.5" hidden="1" customHeight="1" x14ac:dyDescent="0.2">
      <c r="A147" s="347" t="s">
        <v>500</v>
      </c>
      <c r="E147" s="740"/>
    </row>
    <row r="148" spans="1:5" ht="16.5" hidden="1" customHeight="1" x14ac:dyDescent="0.2">
      <c r="A148" s="31" t="s">
        <v>787</v>
      </c>
      <c r="C148" s="31">
        <v>100</v>
      </c>
      <c r="D148" s="31">
        <v>90</v>
      </c>
      <c r="E148" s="740">
        <f t="shared" si="0"/>
        <v>0.9</v>
      </c>
    </row>
    <row r="149" spans="1:5" ht="16.5" hidden="1" customHeight="1" x14ac:dyDescent="0.2">
      <c r="A149" s="347" t="s">
        <v>501</v>
      </c>
      <c r="E149" s="740"/>
    </row>
    <row r="150" spans="1:5" ht="16.5" hidden="1" customHeight="1" x14ac:dyDescent="0.2">
      <c r="A150" s="31" t="s">
        <v>788</v>
      </c>
      <c r="C150" s="31">
        <v>240</v>
      </c>
      <c r="D150" s="31">
        <v>240</v>
      </c>
      <c r="E150" s="740">
        <f t="shared" si="0"/>
        <v>1</v>
      </c>
    </row>
    <row r="151" spans="1:5" ht="16.5" hidden="1" customHeight="1" x14ac:dyDescent="0.2">
      <c r="A151" s="31" t="s">
        <v>792</v>
      </c>
      <c r="C151" s="834">
        <v>180</v>
      </c>
      <c r="D151" s="834">
        <v>180</v>
      </c>
      <c r="E151" s="740">
        <f t="shared" si="0"/>
        <v>1</v>
      </c>
    </row>
    <row r="152" spans="1:5" ht="16.5" hidden="1" customHeight="1" x14ac:dyDescent="0.2">
      <c r="C152" s="31">
        <f>SUM(C128:C151)</f>
        <v>4320</v>
      </c>
      <c r="D152" s="31">
        <f>SUM(D128:D151)</f>
        <v>3780</v>
      </c>
      <c r="E152" s="740">
        <f t="shared" si="0"/>
        <v>0.875</v>
      </c>
    </row>
    <row r="153" spans="1:5" ht="16.5" hidden="1" customHeight="1" x14ac:dyDescent="0.2"/>
    <row r="154" spans="1:5" ht="16.5" hidden="1" customHeight="1" x14ac:dyDescent="0.2">
      <c r="B154" s="352" t="s">
        <v>926</v>
      </c>
      <c r="C154" s="352" t="s">
        <v>927</v>
      </c>
      <c r="D154" s="352" t="s">
        <v>929</v>
      </c>
      <c r="E154" s="93"/>
    </row>
    <row r="155" spans="1:5" ht="16.5" hidden="1" customHeight="1" x14ac:dyDescent="0.2">
      <c r="B155" s="352" t="s">
        <v>915</v>
      </c>
      <c r="C155" s="352" t="s">
        <v>928</v>
      </c>
      <c r="D155" s="93" t="s">
        <v>916</v>
      </c>
      <c r="E155" s="93" t="s">
        <v>925</v>
      </c>
    </row>
    <row r="156" spans="1:5" ht="16.5" hidden="1" customHeight="1" x14ac:dyDescent="0.2">
      <c r="A156" s="1007" t="s">
        <v>917</v>
      </c>
      <c r="B156" s="110">
        <v>9</v>
      </c>
      <c r="C156" s="110">
        <v>6</v>
      </c>
      <c r="D156" s="110">
        <v>0</v>
      </c>
      <c r="E156" s="754">
        <f>SUM(B156:D156)</f>
        <v>15</v>
      </c>
    </row>
    <row r="157" spans="1:5" ht="16.5" hidden="1" customHeight="1" x14ac:dyDescent="0.2">
      <c r="A157" s="1007" t="s">
        <v>918</v>
      </c>
      <c r="B157" s="110">
        <v>8</v>
      </c>
      <c r="C157" s="110">
        <v>0</v>
      </c>
      <c r="D157" s="110">
        <v>12</v>
      </c>
      <c r="E157" s="754">
        <f t="shared" ref="E157:E163" si="1">SUM(B157:D157)</f>
        <v>20</v>
      </c>
    </row>
    <row r="158" spans="1:5" ht="16.5" hidden="1" customHeight="1" x14ac:dyDescent="0.2">
      <c r="A158" s="1007" t="s">
        <v>919</v>
      </c>
      <c r="B158" s="110">
        <v>10</v>
      </c>
      <c r="C158" s="110">
        <v>3</v>
      </c>
      <c r="D158" s="110">
        <v>7</v>
      </c>
      <c r="E158" s="754">
        <f t="shared" si="1"/>
        <v>20</v>
      </c>
    </row>
    <row r="159" spans="1:5" ht="16.5" hidden="1" customHeight="1" x14ac:dyDescent="0.2">
      <c r="A159" s="1007" t="s">
        <v>920</v>
      </c>
      <c r="B159" s="110">
        <v>10.5</v>
      </c>
      <c r="C159" s="110">
        <v>2.5</v>
      </c>
      <c r="D159" s="110">
        <v>7</v>
      </c>
      <c r="E159" s="754">
        <f t="shared" si="1"/>
        <v>20</v>
      </c>
    </row>
    <row r="160" spans="1:5" ht="16.5" hidden="1" customHeight="1" x14ac:dyDescent="0.2">
      <c r="A160" s="1007" t="s">
        <v>921</v>
      </c>
      <c r="B160" s="110">
        <v>10</v>
      </c>
      <c r="C160" s="110">
        <v>1</v>
      </c>
      <c r="D160" s="110">
        <v>9</v>
      </c>
      <c r="E160" s="754">
        <f t="shared" si="1"/>
        <v>20</v>
      </c>
    </row>
    <row r="161" spans="1:7" ht="16.5" hidden="1" customHeight="1" x14ac:dyDescent="0.2">
      <c r="A161" s="1007" t="s">
        <v>922</v>
      </c>
      <c r="B161" s="110">
        <v>7</v>
      </c>
      <c r="C161" s="110">
        <v>1</v>
      </c>
      <c r="D161" s="110">
        <v>12</v>
      </c>
      <c r="E161" s="754">
        <f t="shared" si="1"/>
        <v>20</v>
      </c>
    </row>
    <row r="162" spans="1:7" ht="16.5" hidden="1" customHeight="1" x14ac:dyDescent="0.2">
      <c r="A162" s="1007" t="s">
        <v>923</v>
      </c>
      <c r="B162" s="110">
        <v>0</v>
      </c>
      <c r="C162" s="110">
        <v>0</v>
      </c>
      <c r="D162" s="110">
        <v>20</v>
      </c>
      <c r="E162" s="754">
        <f t="shared" si="1"/>
        <v>20</v>
      </c>
    </row>
    <row r="163" spans="1:7" ht="16.5" hidden="1" customHeight="1" x14ac:dyDescent="0.2">
      <c r="A163" s="1007" t="s">
        <v>924</v>
      </c>
      <c r="B163" s="998">
        <v>0</v>
      </c>
      <c r="C163" s="998">
        <v>0</v>
      </c>
      <c r="D163" s="998">
        <v>20</v>
      </c>
      <c r="E163" s="999">
        <f t="shared" si="1"/>
        <v>20</v>
      </c>
      <c r="F163" s="31" t="s">
        <v>934</v>
      </c>
    </row>
    <row r="164" spans="1:7" ht="16.5" hidden="1" customHeight="1" x14ac:dyDescent="0.2">
      <c r="A164" s="1007" t="s">
        <v>45</v>
      </c>
      <c r="B164" s="110">
        <f>SUM(B156:B163)</f>
        <v>54.5</v>
      </c>
      <c r="C164" s="110">
        <f>SUM(C156:C163)</f>
        <v>13.5</v>
      </c>
      <c r="D164" s="110">
        <f>SUM(D156:D163)</f>
        <v>87</v>
      </c>
      <c r="E164" s="110">
        <f>SUM(B164:D164)</f>
        <v>155</v>
      </c>
      <c r="F164" s="110">
        <f>E164/8</f>
        <v>19.375</v>
      </c>
      <c r="G164" s="31" t="s">
        <v>931</v>
      </c>
    </row>
    <row r="165" spans="1:7" ht="16.5" hidden="1" customHeight="1" x14ac:dyDescent="0.2">
      <c r="B165" s="110">
        <f>B164</f>
        <v>54.5</v>
      </c>
      <c r="C165" s="110">
        <f>C164</f>
        <v>13.5</v>
      </c>
      <c r="D165" s="110">
        <f>(90*3)/4</f>
        <v>67.5</v>
      </c>
      <c r="E165" s="110">
        <f>SUM(B165:D165)</f>
        <v>135.5</v>
      </c>
      <c r="F165" s="110">
        <f>E165/8</f>
        <v>16.9375</v>
      </c>
      <c r="G165" s="31" t="s">
        <v>932</v>
      </c>
    </row>
    <row r="166" spans="1:7" ht="16.5" hidden="1" customHeight="1" x14ac:dyDescent="0.2">
      <c r="B166" s="110">
        <f>B164</f>
        <v>54.5</v>
      </c>
      <c r="C166" s="110">
        <f>C164</f>
        <v>13.5</v>
      </c>
      <c r="D166" s="110">
        <f>(90*3)/5</f>
        <v>54</v>
      </c>
      <c r="E166" s="110">
        <f>SUM(B166:D166)</f>
        <v>122</v>
      </c>
      <c r="F166" s="110">
        <f>E166/8</f>
        <v>15.25</v>
      </c>
      <c r="G166" s="31" t="s">
        <v>933</v>
      </c>
    </row>
    <row r="167" spans="1:7" ht="16.5" hidden="1" customHeight="1" x14ac:dyDescent="0.2"/>
  </sheetData>
  <mergeCells count="76">
    <mergeCell ref="D27:E27"/>
    <mergeCell ref="D26:E26"/>
    <mergeCell ref="D14:E14"/>
    <mergeCell ref="D24:E24"/>
    <mergeCell ref="D21:E21"/>
    <mergeCell ref="D20:E20"/>
    <mergeCell ref="D17:E17"/>
    <mergeCell ref="D16:E16"/>
    <mergeCell ref="D15:E15"/>
    <mergeCell ref="D25:E25"/>
    <mergeCell ref="A55:B55"/>
    <mergeCell ref="A56:B56"/>
    <mergeCell ref="A28:B28"/>
    <mergeCell ref="A36:B36"/>
    <mergeCell ref="A37:B37"/>
    <mergeCell ref="A38:B38"/>
    <mergeCell ref="A40:B40"/>
    <mergeCell ref="B42:E42"/>
    <mergeCell ref="C40:D40"/>
    <mergeCell ref="D37:E37"/>
    <mergeCell ref="D36:E36"/>
    <mergeCell ref="D33:E33"/>
    <mergeCell ref="A34:B34"/>
    <mergeCell ref="D32:E32"/>
    <mergeCell ref="D31:E31"/>
    <mergeCell ref="D30:E30"/>
    <mergeCell ref="D54:E54"/>
    <mergeCell ref="B43:E43"/>
    <mergeCell ref="B44:E44"/>
    <mergeCell ref="B45:E45"/>
    <mergeCell ref="A54:B54"/>
    <mergeCell ref="D61:E61"/>
    <mergeCell ref="D60:E60"/>
    <mergeCell ref="D57:E57"/>
    <mergeCell ref="D56:E56"/>
    <mergeCell ref="D55:E55"/>
    <mergeCell ref="D64:E64"/>
    <mergeCell ref="A72:B72"/>
    <mergeCell ref="A74:B74"/>
    <mergeCell ref="B76:E76"/>
    <mergeCell ref="B77:E77"/>
    <mergeCell ref="A64:B64"/>
    <mergeCell ref="D71:E71"/>
    <mergeCell ref="D70:E70"/>
    <mergeCell ref="D67:E67"/>
    <mergeCell ref="D66:E66"/>
    <mergeCell ref="D65:E65"/>
    <mergeCell ref="B78:E78"/>
    <mergeCell ref="B79:E79"/>
    <mergeCell ref="C74:D74"/>
    <mergeCell ref="A65:B65"/>
    <mergeCell ref="A66:B66"/>
    <mergeCell ref="A67:B67"/>
    <mergeCell ref="A68:B68"/>
    <mergeCell ref="A70:B70"/>
    <mergeCell ref="A71:B71"/>
    <mergeCell ref="A57:B57"/>
    <mergeCell ref="A58:B58"/>
    <mergeCell ref="A60:B60"/>
    <mergeCell ref="A61:B61"/>
    <mergeCell ref="A62:B62"/>
    <mergeCell ref="A21:B21"/>
    <mergeCell ref="A30:B30"/>
    <mergeCell ref="A31:B31"/>
    <mergeCell ref="A32:B32"/>
    <mergeCell ref="A33:B33"/>
    <mergeCell ref="A24:B24"/>
    <mergeCell ref="A25:B25"/>
    <mergeCell ref="A26:B26"/>
    <mergeCell ref="A27:B27"/>
    <mergeCell ref="A20:B20"/>
    <mergeCell ref="A14:B14"/>
    <mergeCell ref="A15:B15"/>
    <mergeCell ref="A16:B16"/>
    <mergeCell ref="A17:B17"/>
    <mergeCell ref="A18:B18"/>
  </mergeCells>
  <phoneticPr fontId="137" type="noConversion"/>
  <pageMargins left="0.7" right="0.7" top="0.75" bottom="0.75" header="0.3" footer="0.3"/>
  <rowBreaks count="2" manualBreakCount="2">
    <brk id="45" max="4" man="1"/>
    <brk id="51" max="16383" man="1"/>
  </rowBreaks>
  <ignoredErrors>
    <ignoredError sqref="C70" formulaRange="1"/>
  </ignoredErrors>
  <legacyDrawing r:id="rId1"/>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FBC22B6A72874A98C4E041B22F2F4F" ma:contentTypeVersion="0" ma:contentTypeDescription="Create a new document." ma:contentTypeScope="" ma:versionID="2ce8c196ad9a4b078fd7f2c1610f3450">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208C531-F99E-4D70-9AC1-A976EE5D385A}">
  <ds:schemaRefs>
    <ds:schemaRef ds:uri="http://schemas.microsoft.com/sharepoint/v3/contenttype/forms"/>
  </ds:schemaRefs>
</ds:datastoreItem>
</file>

<file path=customXml/itemProps2.xml><?xml version="1.0" encoding="utf-8"?>
<ds:datastoreItem xmlns:ds="http://schemas.openxmlformats.org/officeDocument/2006/customXml" ds:itemID="{B740DD8E-4B3A-4C33-A22A-5FB0310779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FED45CE-3C74-4CA3-9337-3595AD62684B}">
  <ds:schemaRef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term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22</vt:i4>
      </vt:variant>
    </vt:vector>
  </HeadingPairs>
  <TitlesOfParts>
    <vt:vector size="51" baseType="lpstr">
      <vt:lpstr>Overview &amp; Explanation</vt:lpstr>
      <vt:lpstr>BS Analysis Adjustments</vt:lpstr>
      <vt:lpstr>IS Analysis Adjustments</vt:lpstr>
      <vt:lpstr>Common-size FS</vt:lpstr>
      <vt:lpstr>Financial Ratios</vt:lpstr>
      <vt:lpstr>Industry Firm Ratios</vt:lpstr>
      <vt:lpstr>Oper Lease Adjust 1</vt:lpstr>
      <vt:lpstr>Oper Lease Adjust 2</vt:lpstr>
      <vt:lpstr>Oper Lease Adjust 3</vt:lpstr>
      <vt:lpstr>Oper Lease Adjust 4</vt:lpstr>
      <vt:lpstr>Oper Lease Adjust 5</vt:lpstr>
      <vt:lpstr>Oper Lease Adjust 6</vt:lpstr>
      <vt:lpstr>Key Competitor Oper Lease Adj</vt:lpstr>
      <vt:lpstr>Pension Cost Analysis Adjust</vt:lpstr>
      <vt:lpstr>Invent Cost-Flow Analysis Adj</vt:lpstr>
      <vt:lpstr>Noncancel Commit Analysis Adj</vt:lpstr>
      <vt:lpstr>Guar Uncons Debt Analysis Adj</vt:lpstr>
      <vt:lpstr>Capitalized Int Analysis Adj</vt:lpstr>
      <vt:lpstr>Impair, Restruct Analysis Adj</vt:lpstr>
      <vt:lpstr>Debt Restruct Analysis Adj </vt:lpstr>
      <vt:lpstr>Sales Invest, PP&amp;E Analysis Adj</vt:lpstr>
      <vt:lpstr>OCF &amp; FCF Analyses</vt:lpstr>
      <vt:lpstr>RNOA &amp; ROCE Analysis</vt:lpstr>
      <vt:lpstr>Projected FS</vt:lpstr>
      <vt:lpstr>Sales Projection</vt:lpstr>
      <vt:lpstr>RI Model</vt:lpstr>
      <vt:lpstr>Estimate L-R Avg Tax Rate</vt:lpstr>
      <vt:lpstr>P-E &amp; P-B Comparisons</vt:lpstr>
      <vt:lpstr>Z-Score</vt:lpstr>
      <vt:lpstr>'BS Analysis Adjustments'!Print_Area</vt:lpstr>
      <vt:lpstr>'Common-size FS'!Print_Area</vt:lpstr>
      <vt:lpstr>'Estimate L-R Avg Tax Rate'!Print_Area</vt:lpstr>
      <vt:lpstr>'Financial Ratios'!Print_Area</vt:lpstr>
      <vt:lpstr>'Industry Firm Ratios'!Print_Area</vt:lpstr>
      <vt:lpstr>'IS Analysis Adjustments'!Print_Area</vt:lpstr>
      <vt:lpstr>'Key Competitor Oper Lease Adj'!Print_Area</vt:lpstr>
      <vt:lpstr>'OCF &amp; FCF Analyses'!Print_Area</vt:lpstr>
      <vt:lpstr>'Oper Lease Adjust 1'!Print_Area</vt:lpstr>
      <vt:lpstr>'Oper Lease Adjust 2'!Print_Area</vt:lpstr>
      <vt:lpstr>'Oper Lease Adjust 3'!Print_Area</vt:lpstr>
      <vt:lpstr>'Oper Lease Adjust 4'!Print_Area</vt:lpstr>
      <vt:lpstr>'Oper Lease Adjust 5'!Print_Area</vt:lpstr>
      <vt:lpstr>'Oper Lease Adjust 6'!Print_Area</vt:lpstr>
      <vt:lpstr>'P-E &amp; P-B Comparisons'!Print_Area</vt:lpstr>
      <vt:lpstr>'Projected FS'!Print_Area</vt:lpstr>
      <vt:lpstr>'RI Model'!Print_Area</vt:lpstr>
      <vt:lpstr>'RNOA &amp; ROCE Analysis'!Print_Area</vt:lpstr>
      <vt:lpstr>'Z-Score'!Print_Area</vt:lpstr>
      <vt:lpstr>'BS Analysis Adjustments'!Print_Titles</vt:lpstr>
      <vt:lpstr>'Financial Ratios'!Print_Titles</vt:lpstr>
      <vt:lpstr>'IS Analysis Adjustments'!Print_Titles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Ronald E. Neufeld</dc:creator>
  <cp:lastModifiedBy>Daniel A. Plowman</cp:lastModifiedBy>
  <cp:lastPrinted>2014-01-01T05:36:29Z</cp:lastPrinted>
  <dcterms:created xsi:type="dcterms:W3CDTF">2007-03-03T06:04:13Z</dcterms:created>
  <dcterms:modified xsi:type="dcterms:W3CDTF">2016-04-28T14:08:49Z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0x010100DEFBC22B6A72874A98C4E041B22F2F4F</vt:lpwstr>
  </property>
</Properties>
</file>